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rojekte\derzeit laufende\Wilken_Neutrasoft_Kisters\2021\GPT\"/>
    </mc:Choice>
  </mc:AlternateContent>
  <bookViews>
    <workbookView xWindow="0" yWindow="0" windowWidth="28800" windowHeight="12885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K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N21" i="18"/>
  <c r="J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66" i="18" s="1"/>
  <c r="D21" i="15"/>
  <c r="C20" i="15"/>
  <c r="M21" i="18" l="1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G55" i="18" l="1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K13" i="7" l="1"/>
  <c r="O13" i="7"/>
  <c r="J14" i="7"/>
  <c r="N14" i="7"/>
  <c r="J15" i="7"/>
  <c r="N15" i="7"/>
  <c r="M12" i="7"/>
  <c r="I12" i="7"/>
  <c r="N11" i="7"/>
  <c r="L11" i="7"/>
  <c r="H11" i="7"/>
  <c r="I13" i="7"/>
  <c r="L14" i="7"/>
  <c r="L15" i="7"/>
  <c r="O12" i="7"/>
  <c r="P11" i="7"/>
  <c r="N13" i="7"/>
  <c r="I14" i="7"/>
  <c r="M15" i="7"/>
  <c r="P12" i="7"/>
  <c r="M11" i="7"/>
  <c r="H13" i="7"/>
  <c r="L13" i="7"/>
  <c r="P13" i="7"/>
  <c r="K14" i="7"/>
  <c r="O14" i="7"/>
  <c r="K15" i="7"/>
  <c r="O15" i="7"/>
  <c r="N12" i="7"/>
  <c r="J12" i="7"/>
  <c r="O11" i="7"/>
  <c r="J11" i="7"/>
  <c r="M13" i="7"/>
  <c r="H14" i="7"/>
  <c r="P14" i="7"/>
  <c r="H15" i="7"/>
  <c r="P15" i="7"/>
  <c r="K12" i="7"/>
  <c r="K11" i="7"/>
  <c r="J13" i="7"/>
  <c r="M14" i="7"/>
  <c r="I15" i="7"/>
  <c r="L12" i="7"/>
  <c r="H12" i="7"/>
  <c r="I11" i="7"/>
  <c r="F12" i="7"/>
  <c r="F15" i="7"/>
  <c r="F14" i="7"/>
  <c r="F13" i="7"/>
  <c r="F11" i="7"/>
  <c r="M8" i="4"/>
  <c r="M7" i="4"/>
  <c r="C5" i="1"/>
  <c r="D6" i="15"/>
  <c r="D6" i="7"/>
  <c r="Q15" i="7" l="1"/>
  <c r="Q13" i="7"/>
  <c r="Q11" i="7"/>
  <c r="Q12" i="7"/>
  <c r="Q14" i="7"/>
  <c r="C30" i="7"/>
  <c r="C18" i="7"/>
  <c r="C14" i="7"/>
  <c r="C12" i="7"/>
  <c r="C20" i="7"/>
  <c r="C21" i="7"/>
  <c r="C17" i="7"/>
  <c r="C23" i="7"/>
  <c r="C28" i="7"/>
  <c r="C25" i="7"/>
  <c r="C22" i="7"/>
  <c r="C27" i="7"/>
  <c r="C16" i="7"/>
  <c r="C19" i="7"/>
  <c r="C13" i="7"/>
  <c r="C15" i="7"/>
  <c r="C24" i="7"/>
  <c r="C29" i="7"/>
  <c r="C26" i="7"/>
</calcChain>
</file>

<file path=xl/comments1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Straub, Dr. Florian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<sst xmlns="http://schemas.openxmlformats.org/spreadsheetml/2006/main" count="1377" uniqueCount="671">
  <si>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</si>
  <si>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</si>
  <si>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</si>
  <si>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</si>
  <si>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</si>
  <si>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</si>
  <si>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</si>
  <si>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</si>
  <si>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</si>
  <si>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</si>
  <si>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</si>
  <si>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</si>
  <si>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</si>
  <si>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</si>
  <si>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</si>
  <si>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</si>
  <si>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</si>
  <si>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</si>
  <si>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</si>
  <si>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</si>
  <si>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</si>
  <si>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</si>
  <si>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</si>
  <si>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</si>
  <si>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</si>
  <si>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</si>
  <si>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</si>
  <si>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</si>
  <si>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</si>
  <si>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</si>
  <si>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</si>
  <si>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</si>
  <si>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</si>
  <si>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</si>
  <si>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</si>
  <si>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</si>
  <si>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</si>
  <si>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</si>
  <si>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</si>
  <si>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</si>
  <si>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</si>
  <si>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</si>
  <si>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</si>
  <si>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</si>
  <si>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</si>
  <si>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</si>
  <si>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</si>
  <si>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</si>
  <si>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</si>
  <si>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</si>
  <si>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</si>
  <si>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</si>
  <si>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</si>
  <si>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</si>
  <si>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</si>
  <si>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</si>
  <si>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</si>
  <si>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</si>
  <si>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</si>
  <si>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</si>
  <si>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</si>
  <si>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</si>
  <si>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</si>
  <si>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</si>
  <si>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</si>
  <si>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</si>
  <si>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</si>
  <si>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</si>
  <si>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</si>
  <si>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</si>
  <si>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</si>
  <si>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</si>
  <si>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</si>
  <si>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</si>
  <si>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</si>
  <si>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</si>
  <si>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</si>
  <si>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</si>
  <si>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</si>
  <si>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</si>
  <si>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</si>
  <si>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</si>
  <si>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</si>
  <si>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</si>
  <si>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</si>
  <si>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</si>
  <si>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</si>
  <si>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</si>
  <si>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</si>
  <si>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</si>
  <si>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</si>
  <si>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</si>
  <si>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</si>
  <si>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</si>
  <si>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</si>
  <si>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</si>
  <si>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</si>
  <si>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</si>
  <si>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</si>
  <si>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</si>
  <si>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</si>
  <si>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</si>
  <si>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</si>
  <si>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</si>
  <si>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</si>
  <si>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</si>
  <si>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</si>
  <si>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</si>
  <si>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</si>
  <si>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</si>
  <si>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</si>
  <si>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</si>
  <si>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</si>
  <si>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</si>
  <si>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</si>
  <si>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</si>
  <si>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</si>
  <si>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</si>
  <si>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</si>
  <si>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</si>
  <si>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</si>
  <si>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</si>
  <si>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</si>
  <si>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</si>
  <si>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</si>
  <si>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</si>
  <si>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</si>
  <si>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</si>
  <si>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</si>
  <si>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</si>
  <si>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</si>
  <si>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</si>
  <si>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</si>
  <si>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</si>
  <si>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</si>
  <si>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</si>
  <si>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</si>
  <si>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</si>
  <si>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</si>
  <si>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</si>
  <si>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</si>
  <si>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</si>
  <si>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</si>
  <si>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</si>
  <si>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</si>
  <si>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</si>
  <si>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</si>
  <si>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</si>
  <si>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</si>
  <si>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</si>
  <si>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</si>
  <si>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</si>
  <si>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</si>
  <si>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</si>
  <si>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</si>
  <si>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</si>
  <si>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</si>
  <si>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</si>
  <si>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</si>
  <si>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</si>
  <si>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</si>
  <si>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</si>
  <si>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</si>
  <si>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</si>
  <si>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</si>
  <si>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</si>
  <si>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</si>
  <si>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</si>
  <si>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</si>
  <si>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</si>
  <si>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</si>
  <si>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</si>
  <si>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</si>
  <si>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</si>
  <si>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</si>
  <si>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</si>
  <si>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</si>
  <si>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</si>
  <si>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</si>
  <si>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</si>
  <si>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</si>
  <si>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</si>
  <si>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</si>
  <si>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</si>
  <si>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</si>
  <si>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</si>
  <si>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</si>
  <si>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</si>
  <si>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</si>
  <si>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</si>
  <si>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</si>
  <si>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</si>
  <si>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</si>
  <si>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</si>
  <si>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</si>
  <si>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</si>
  <si>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</si>
  <si>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</si>
  <si>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</si>
  <si>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</si>
  <si>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</si>
  <si>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</si>
  <si>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</si>
  <si>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</si>
  <si>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</si>
  <si>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</si>
  <si>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</si>
  <si>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</si>
  <si>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</si>
  <si>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</si>
  <si>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</si>
  <si>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</si>
  <si>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</si>
  <si>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</si>
  <si>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</si>
  <si>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</si>
  <si>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</si>
  <si>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</si>
  <si>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</si>
  <si>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</si>
  <si>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</si>
  <si>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</si>
  <si>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</si>
  <si>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</si>
  <si>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</si>
  <si>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</si>
  <si>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</si>
  <si>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</si>
  <si>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</si>
  <si>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</si>
  <si>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</si>
  <si>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</si>
  <si>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</si>
  <si>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</si>
  <si>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</si>
  <si>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</si>
  <si>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</si>
  <si>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</si>
  <si>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</si>
  <si>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</si>
  <si>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</si>
  <si>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</si>
  <si>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</si>
  <si>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</si>
  <si>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</si>
  <si>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</si>
  <si>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</si>
  <si>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</si>
  <si>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</si>
  <si>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</si>
  <si>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DE_GBD33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</si>
  <si>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</si>
  <si>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</si>
  <si>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</si>
  <si>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</si>
  <si>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</si>
  <si>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</si>
  <si>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</si>
  <si>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</si>
  <si>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</si>
  <si>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</si>
  <si>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</si>
  <si>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</si>
  <si>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</si>
  <si>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</si>
  <si>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</si>
  <si>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</si>
  <si>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</si>
  <si>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</si>
  <si>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</si>
  <si>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</si>
  <si>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</si>
  <si>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</si>
  <si>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</si>
  <si>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</si>
  <si>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</si>
  <si>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</si>
  <si>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</si>
  <si>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</si>
  <si>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</si>
  <si>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</si>
  <si>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</si>
  <si>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</si>
  <si>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</si>
  <si>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</si>
  <si>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</si>
  <si>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</si>
  <si>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</si>
  <si>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</si>
  <si>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</si>
  <si>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</si>
  <si>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</si>
  <si>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</si>
  <si>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</si>
  <si>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</si>
  <si>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</si>
  <si>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</si>
  <si>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</si>
  <si>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</si>
  <si>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</si>
  <si>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</si>
  <si>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</si>
  <si>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</si>
  <si>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</si>
  <si>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</si>
  <si>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</si>
  <si>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</si>
  <si>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</si>
  <si>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</si>
  <si>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</si>
  <si>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</si>
  <si>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</si>
  <si>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</si>
  <si>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</si>
  <si>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</si>
  <si>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</si>
  <si>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</si>
  <si>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</si>
  <si>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</si>
  <si>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</si>
  <si>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</si>
  <si>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</si>
  <si>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</si>
  <si>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</si>
  <si>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</si>
  <si>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</si>
  <si>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</si>
  <si>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</si>
  <si>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</si>
  <si>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</si>
  <si>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</si>
  <si>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</si>
  <si>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</si>
  <si>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</si>
  <si>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</si>
  <si>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</si>
  <si>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</si>
  <si>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</si>
  <si>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</si>
  <si>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</si>
  <si>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</si>
  <si>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</si>
  <si>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</si>
  <si>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</si>
  <si>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</si>
  <si>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</si>
  <si>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</si>
  <si>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</si>
  <si>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</si>
  <si>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</si>
  <si>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</si>
  <si>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</si>
  <si>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</si>
  <si>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</si>
  <si>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</si>
  <si>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</si>
  <si>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</si>
  <si>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</si>
  <si>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</si>
  <si>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</si>
  <si>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</si>
  <si>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</si>
  <si>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</si>
  <si>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</si>
  <si>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</si>
  <si>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</si>
  <si>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</si>
  <si>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</si>
  <si>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</si>
  <si>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</si>
  <si>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</si>
  <si>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</si>
  <si>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</si>
  <si>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</si>
  <si>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</si>
  <si>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</si>
  <si>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</si>
  <si>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</si>
  <si>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</si>
  <si>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</si>
  <si>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</si>
  <si>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</si>
  <si>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</si>
  <si>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</si>
  <si>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</si>
  <si>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</si>
  <si>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</si>
  <si>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</si>
  <si>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</si>
  <si>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</si>
  <si>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</si>
  <si>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</si>
  <si>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</si>
  <si>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</si>
  <si>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</si>
  <si>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</si>
  <si>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</si>
  <si>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</si>
  <si>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</si>
  <si>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</si>
  <si>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</si>
  <si>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</si>
  <si>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</si>
  <si>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</si>
  <si>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</si>
  <si>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</si>
  <si>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</si>
  <si>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</si>
  <si>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</si>
  <si>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</si>
  <si>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</si>
  <si>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</si>
  <si>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</si>
  <si>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</si>
  <si>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</si>
  <si>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</si>
  <si>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</si>
  <si>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</si>
  <si>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</si>
  <si>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</si>
  <si>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</si>
  <si>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</si>
  <si>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</si>
  <si>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</si>
  <si>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</si>
  <si>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</si>
  <si>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</si>
  <si>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</si>
  <si>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</si>
  <si>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</si>
  <si>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</si>
  <si>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</si>
  <si>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</si>
  <si>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</si>
  <si>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</si>
  <si>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</si>
  <si>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</si>
  <si>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</si>
  <si>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</si>
  <si>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</si>
  <si>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</si>
  <si>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</si>
  <si>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</si>
  <si>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</si>
  <si>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</si>
  <si>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</si>
  <si>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</si>
  <si>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</si>
  <si>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</si>
  <si>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</si>
  <si>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</si>
  <si>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</si>
  <si>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</si>
  <si>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</si>
  <si>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</si>
  <si>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</si>
  <si>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</si>
  <si>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</si>
  <si>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</si>
  <si>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</si>
  <si>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</si>
  <si>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</si>
  <si>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</si>
  <si>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</si>
  <si>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</si>
  <si>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</si>
  <si>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</si>
  <si>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</si>
  <si>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</si>
  <si>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</si>
  <si>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</si>
  <si>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</si>
  <si>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</si>
  <si>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</si>
  <si>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</si>
  <si>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</si>
  <si>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</si>
  <si>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</si>
  <si>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</si>
  <si>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</si>
  <si>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</si>
  <si>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</si>
  <si>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</si>
  <si>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</si>
  <si>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</si>
  <si>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</si>
  <si>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</si>
  <si>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</si>
  <si>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</si>
  <si>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</si>
  <si>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</si>
  <si>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</si>
  <si>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</si>
  <si>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</si>
  <si>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DE_HEF33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</si>
  <si>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</si>
  <si>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</si>
  <si>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</si>
  <si>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</si>
  <si>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</si>
  <si>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</si>
  <si>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</si>
  <si>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</si>
  <si>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</si>
  <si>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</si>
  <si>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</si>
  <si>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</si>
  <si>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</si>
  <si>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</si>
  <si>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</si>
  <si>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DE_HMF33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</si>
  <si>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</si>
  <si>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</si>
  <si>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</si>
  <si>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</si>
  <si>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</si>
  <si>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</si>
  <si>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</si>
  <si>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</si>
  <si>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</si>
  <si>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</si>
  <si>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</si>
  <si>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</si>
  <si>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</si>
  <si>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</si>
  <si>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</si>
  <si>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</si>
  <si>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</si>
  <si>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</si>
  <si>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</si>
  <si>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</si>
  <si>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</si>
  <si>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</si>
  <si>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</si>
  <si>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</si>
  <si>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</si>
  <si>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</si>
  <si>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</si>
  <si>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</si>
  <si>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</si>
  <si>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</si>
  <si>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</si>
  <si>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</si>
  <si>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</si>
  <si>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</si>
  <si>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</si>
  <si>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</si>
  <si>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</si>
  <si>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</si>
  <si>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</si>
  <si>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</si>
  <si>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</si>
  <si>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</si>
  <si>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</si>
  <si>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</si>
  <si>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</si>
  <si>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</si>
  <si>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</si>
  <si>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</si>
  <si>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</si>
  <si>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</si>
  <si>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</si>
  <si>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</si>
  <si>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</si>
  <si>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</si>
  <si>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</si>
  <si>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</si>
  <si>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</si>
  <si>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</si>
  <si>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</si>
  <si>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</si>
  <si>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</si>
  <si>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</si>
  <si>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</si>
  <si>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</si>
  <si>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</si>
  <si>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</si>
  <si>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</si>
  <si>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</si>
  <si>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</si>
  <si>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</si>
  <si>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</si>
  <si>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</si>
  <si>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</si>
  <si>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</si>
  <si>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</si>
  <si>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</si>
  <si>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</si>
  <si>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</si>
  <si>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</si>
  <si>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</si>
  <si>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</si>
  <si>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</si>
  <si>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</si>
  <si>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</si>
  <si>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</si>
  <si>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</si>
  <si>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</si>
  <si>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</si>
  <si>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</si>
  <si>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</si>
  <si>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</si>
  <si>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</si>
  <si>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</si>
  <si>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</si>
  <si>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</si>
  <si>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</si>
  <si>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</si>
  <si>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</si>
  <si>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</si>
  <si>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</si>
  <si>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</si>
  <si>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</si>
  <si>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</si>
  <si>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</si>
  <si>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</si>
  <si>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</si>
  <si>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</si>
  <si>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</si>
  <si>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</si>
  <si>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</si>
  <si>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</si>
  <si>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</si>
  <si>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</si>
  <si>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</si>
  <si>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</si>
  <si>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</si>
  <si>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</si>
  <si>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</si>
  <si>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</si>
  <si>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</si>
  <si>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</si>
  <si>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</si>
  <si>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</si>
  <si>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</si>
  <si>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</si>
  <si>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</si>
  <si>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</si>
  <si>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</si>
  <si>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</si>
  <si>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</si>
  <si>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</si>
  <si>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</si>
  <si>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</si>
  <si>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</si>
  <si>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</si>
  <si>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</si>
  <si>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</si>
  <si>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</si>
  <si>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</si>
  <si>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</si>
  <si>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</si>
  <si>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</si>
  <si>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</si>
  <si>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</si>
  <si>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</si>
  <si>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</si>
  <si>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</si>
  <si>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</si>
  <si>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</si>
  <si>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Senftenberg GmbH</t>
  </si>
  <si>
    <t>Laugkstraße 13-15</t>
  </si>
  <si>
    <t>D-01968</t>
  </si>
  <si>
    <t>Senftenberg</t>
  </si>
  <si>
    <t>Jens Buckow</t>
  </si>
  <si>
    <t>jens.buckow@stadtwerke-senftenberg.de</t>
  </si>
  <si>
    <t>03573-7093-61</t>
  </si>
  <si>
    <t>Netzgebiet der SW Senftenberg</t>
  </si>
  <si>
    <t>Wetterstation Klettwitz</t>
  </si>
  <si>
    <t>Klettwitz</t>
  </si>
  <si>
    <t>THE0NKH700846000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</si>
</sst>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  <xf numFmtId="0" fontId="77" fillId="33" borderId="17" xfId="152" applyFill="1" applyBorder="1" applyAlignment="1" applyProtection="1">
      <alignment horizontal="center"/>
      <protection locked="0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7">
    <dxf>
      <font>
        <color rgb="FFFF0000"/>
      </font>
      <fill>
        <patternFill>
          <bgColor theme="9" tint="0.799981688894314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s.buckow@stadtwerke-senftenberg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95" zoomScaleNormal="95" workbookViewId="0">
      <selection activeCell="G31" sqref="G3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463</v>
      </c>
    </row>
    <row r="3" spans="2:7"/>
    <row r="4" spans="2:7">
      <c r="B4" s="8" t="s">
        <v>458</v>
      </c>
    </row>
    <row r="5" spans="2:7">
      <c r="B5" s="8" t="s">
        <v>459</v>
      </c>
    </row>
    <row r="6" spans="2:7"/>
    <row r="7" spans="2:7">
      <c r="B7" t="s">
        <v>336</v>
      </c>
    </row>
    <row r="8" spans="2:7" s="8" customFormat="1">
      <c r="B8" s="8" t="s">
        <v>460</v>
      </c>
    </row>
    <row r="9" spans="2:7" s="8" customFormat="1"/>
    <row r="10" spans="2:7" s="8" customFormat="1">
      <c r="B10" s="14" t="s">
        <v>445</v>
      </c>
    </row>
    <row r="11" spans="2:7" s="8" customFormat="1">
      <c r="B11" s="8" t="s">
        <v>498</v>
      </c>
    </row>
    <row r="12" spans="2:7" s="8" customFormat="1">
      <c r="B12" s="8" t="s">
        <v>499</v>
      </c>
    </row>
    <row r="13" spans="2:7" s="8" customFormat="1">
      <c r="B13" s="8" t="s">
        <v>507</v>
      </c>
    </row>
    <row r="14" spans="2:7" s="8" customFormat="1"/>
    <row r="15" spans="2:7">
      <c r="B15" s="20" t="s">
        <v>462</v>
      </c>
      <c r="C15" s="15"/>
    </row>
    <row r="16" spans="2:7">
      <c r="B16" s="15"/>
      <c r="C16" s="15"/>
      <c r="G16" s="10"/>
    </row>
    <row r="17" spans="2:12">
      <c r="B17" s="17" t="s">
        <v>343</v>
      </c>
      <c r="C17" s="15"/>
    </row>
    <row r="18" spans="2:12" s="8" customFormat="1">
      <c r="B18" s="18" t="s">
        <v>337</v>
      </c>
      <c r="C18" s="15"/>
    </row>
    <row r="19" spans="2:12" s="8" customFormat="1">
      <c r="B19" s="18" t="s">
        <v>338</v>
      </c>
      <c r="C19" s="15"/>
    </row>
    <row r="20" spans="2:12">
      <c r="B20" s="17"/>
      <c r="C20" s="15"/>
    </row>
    <row r="21" spans="2:12">
      <c r="B21" s="3" t="s">
        <v>461</v>
      </c>
      <c r="C21" s="15"/>
    </row>
    <row r="22" spans="2:12" s="8" customFormat="1">
      <c r="B22" s="18" t="s">
        <v>339</v>
      </c>
      <c r="C22" s="15"/>
    </row>
    <row r="23" spans="2:12" s="8" customFormat="1">
      <c r="B23" s="18" t="s">
        <v>340</v>
      </c>
      <c r="C23" s="15"/>
    </row>
    <row r="24" spans="2:12">
      <c r="B24" s="17"/>
      <c r="C24" s="15"/>
    </row>
    <row r="25" spans="2:12">
      <c r="B25" s="17" t="s">
        <v>344</v>
      </c>
      <c r="C25" s="15"/>
    </row>
    <row r="26" spans="2:12">
      <c r="B26" s="18" t="s">
        <v>341</v>
      </c>
      <c r="C26" s="15"/>
      <c r="F26" s="8"/>
      <c r="G26" s="8"/>
      <c r="H26" s="8"/>
    </row>
    <row r="27" spans="2:12">
      <c r="B27" s="18" t="s">
        <v>342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345</v>
      </c>
      <c r="C29" s="19">
        <v>43663</v>
      </c>
      <c r="E29" s="8"/>
      <c r="F29" s="8"/>
      <c r="G29" s="8"/>
      <c r="H29" s="8"/>
    </row>
    <row r="30" spans="2:12">
      <c r="B30" s="21" t="s">
        <v>346</v>
      </c>
      <c r="C30" s="338" t="s">
        <v>655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259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502</v>
      </c>
      <c r="D4" s="27">
        <v>44501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503</v>
      </c>
      <c r="D6" s="27">
        <v>44501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71</v>
      </c>
      <c r="C9" s="5" t="s">
        <v>260</v>
      </c>
      <c r="D9" s="41" t="s">
        <v>660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72</v>
      </c>
      <c r="C11" s="4" t="s">
        <v>483</v>
      </c>
      <c r="D11" s="42">
        <v>9870084600006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73</v>
      </c>
      <c r="C13" s="5" t="s">
        <v>261</v>
      </c>
      <c r="D13" s="41" t="s">
        <v>661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74</v>
      </c>
      <c r="C15" s="5" t="s">
        <v>262</v>
      </c>
      <c r="D15" s="43" t="s">
        <v>662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75</v>
      </c>
      <c r="C17" s="5" t="s">
        <v>263</v>
      </c>
      <c r="D17" s="41" t="s">
        <v>663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76</v>
      </c>
      <c r="C19" s="5" t="s">
        <v>264</v>
      </c>
      <c r="D19" s="41" t="s">
        <v>664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77</v>
      </c>
      <c r="C21" s="5" t="s">
        <v>265</v>
      </c>
      <c r="D21" s="366" t="s">
        <v>665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78</v>
      </c>
      <c r="C23" s="5" t="s">
        <v>266</v>
      </c>
      <c r="D23" s="41" t="s">
        <v>666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484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457</v>
      </c>
      <c r="D27" s="42" t="s">
        <v>394</v>
      </c>
      <c r="E27" s="39"/>
      <c r="F27" s="11"/>
    </row>
    <row r="28" spans="1:15">
      <c r="B28" s="15"/>
      <c r="C28" s="65" t="s">
        <v>501</v>
      </c>
      <c r="D28" s="47" t="str">
        <f>IF(D27&lt;&gt;C28,VLOOKUP(D27,$C$29:$D$48,2,FALSE),C28)</f>
        <v>Netzgebiet der SW Senftenberg</v>
      </c>
      <c r="E28" s="38"/>
      <c r="F28" s="11"/>
      <c r="G28" s="2"/>
    </row>
    <row r="29" spans="1:15">
      <c r="B29" s="15"/>
      <c r="C29" s="22" t="s">
        <v>394</v>
      </c>
      <c r="D29" s="44" t="s">
        <v>667</v>
      </c>
      <c r="E29" s="40"/>
      <c r="F29" s="11"/>
      <c r="G29" s="2"/>
    </row>
    <row r="30" spans="1:15">
      <c r="B30" s="15"/>
      <c r="C30" s="22" t="s">
        <v>395</v>
      </c>
      <c r="D30" s="44"/>
      <c r="E30" s="40"/>
      <c r="F30" s="46"/>
      <c r="G30" s="2"/>
    </row>
    <row r="31" spans="1:15">
      <c r="B31" s="15"/>
      <c r="C31" s="22" t="s">
        <v>420</v>
      </c>
      <c r="D31" s="45"/>
      <c r="E31" s="40"/>
      <c r="F31" s="46"/>
      <c r="G31" s="2"/>
    </row>
    <row r="32" spans="1:15">
      <c r="B32" s="15"/>
      <c r="C32" s="22" t="s">
        <v>421</v>
      </c>
      <c r="D32" s="45"/>
      <c r="E32" s="40"/>
      <c r="F32" s="46"/>
      <c r="G32" s="2"/>
    </row>
    <row r="33" spans="2:7">
      <c r="B33" s="15"/>
      <c r="C33" s="22" t="s">
        <v>422</v>
      </c>
      <c r="D33" s="44"/>
      <c r="E33" s="40"/>
      <c r="F33" s="46"/>
      <c r="G33" s="2"/>
    </row>
    <row r="34" spans="2:7">
      <c r="B34" s="15"/>
      <c r="C34" s="22" t="s">
        <v>423</v>
      </c>
      <c r="D34" s="45"/>
      <c r="E34" s="40"/>
      <c r="F34" s="46"/>
      <c r="G34" s="2"/>
    </row>
    <row r="35" spans="2:7">
      <c r="B35" s="15"/>
      <c r="C35" s="22" t="s">
        <v>424</v>
      </c>
      <c r="D35" s="45"/>
      <c r="E35" s="40"/>
      <c r="F35" s="46"/>
      <c r="G35" s="2"/>
    </row>
    <row r="36" spans="2:7">
      <c r="B36" s="15"/>
      <c r="C36" s="22" t="s">
        <v>425</v>
      </c>
      <c r="D36" s="45"/>
      <c r="E36" s="40"/>
      <c r="F36" s="46"/>
      <c r="G36" s="2"/>
    </row>
    <row r="37" spans="2:7">
      <c r="B37" s="15"/>
      <c r="C37" s="22" t="s">
        <v>426</v>
      </c>
      <c r="D37" s="45"/>
      <c r="E37" s="40"/>
      <c r="F37" s="46"/>
      <c r="G37" s="2"/>
    </row>
    <row r="38" spans="2:7">
      <c r="B38" s="15"/>
      <c r="C38" s="22" t="s">
        <v>429</v>
      </c>
      <c r="D38" s="45"/>
      <c r="E38" s="40"/>
      <c r="F38" s="46"/>
      <c r="G38" s="2"/>
    </row>
    <row r="39" spans="2:7">
      <c r="B39" s="15"/>
      <c r="C39" s="22" t="s">
        <v>430</v>
      </c>
      <c r="D39" s="45"/>
      <c r="E39" s="40"/>
      <c r="F39" s="46"/>
      <c r="G39" s="2"/>
    </row>
    <row r="40" spans="2:7">
      <c r="B40" s="15"/>
      <c r="C40" s="22" t="s">
        <v>431</v>
      </c>
      <c r="D40" s="45"/>
      <c r="E40" s="40"/>
      <c r="F40" s="46"/>
      <c r="G40" s="2"/>
    </row>
    <row r="41" spans="2:7">
      <c r="B41" s="15"/>
      <c r="C41" s="22" t="s">
        <v>432</v>
      </c>
      <c r="D41" s="45"/>
      <c r="E41" s="40"/>
      <c r="F41" s="46"/>
      <c r="G41" s="2"/>
    </row>
    <row r="42" spans="2:7">
      <c r="B42" s="15"/>
      <c r="C42" s="22" t="s">
        <v>433</v>
      </c>
      <c r="D42" s="45"/>
      <c r="E42" s="40"/>
      <c r="F42" s="46"/>
      <c r="G42" s="2"/>
    </row>
    <row r="43" spans="2:7">
      <c r="B43" s="15"/>
      <c r="C43" s="22" t="s">
        <v>434</v>
      </c>
      <c r="D43" s="45"/>
      <c r="E43" s="40"/>
      <c r="F43" s="46"/>
      <c r="G43" s="2"/>
    </row>
    <row r="44" spans="2:7">
      <c r="B44" s="15"/>
      <c r="C44" s="22" t="s">
        <v>435</v>
      </c>
      <c r="D44" s="45"/>
      <c r="E44" s="40"/>
      <c r="F44" s="46"/>
      <c r="G44" s="2"/>
    </row>
    <row r="45" spans="2:7">
      <c r="B45" s="15"/>
      <c r="C45" s="22" t="s">
        <v>436</v>
      </c>
      <c r="D45" s="45"/>
      <c r="E45" s="40"/>
      <c r="F45" s="46"/>
      <c r="G45" s="2"/>
    </row>
    <row r="46" spans="2:7">
      <c r="B46" s="15"/>
      <c r="C46" s="22" t="s">
        <v>437</v>
      </c>
      <c r="D46" s="45"/>
      <c r="E46" s="40"/>
      <c r="F46" s="46"/>
    </row>
    <row r="47" spans="2:7">
      <c r="B47" s="15"/>
      <c r="C47" s="22" t="s">
        <v>438</v>
      </c>
      <c r="D47" s="45"/>
      <c r="E47" s="40"/>
      <c r="F47" s="46"/>
    </row>
    <row r="48" spans="2:7">
      <c r="B48" s="15"/>
      <c r="C48" s="22" t="s">
        <v>439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56" priority="2">
      <formula>IF(CELL("Zeile",D29)&lt;$D$25+CELL("Zeile",$D$29),1,0)</formula>
    </cfRule>
  </conditionalFormatting>
  <conditionalFormatting sqref="D30:D48">
    <cfRule type="expression" dxfId="55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59"/>
  <sheetViews>
    <sheetView showGridLines="0" topLeftCell="A10" zoomScale="80" zoomScaleNormal="80" workbookViewId="0">
      <selection activeCell="E11" sqref="E11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267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443</v>
      </c>
      <c r="D5" s="57" t="str">
        <f>Netzbetreiber!$D$9</f>
        <v>Stadtwerke Senftenberg GmbH</v>
      </c>
      <c r="H5" s="67"/>
      <c r="I5" s="67"/>
      <c r="J5" s="67"/>
      <c r="K5" s="67"/>
    </row>
    <row r="6" spans="2:15" ht="15" customHeight="1">
      <c r="B6" s="22"/>
      <c r="C6" s="61" t="s">
        <v>442</v>
      </c>
      <c r="D6" s="57" t="str">
        <f>Netzbetreiber!D28</f>
        <v>Netzgebiet der SW Senftenberg</v>
      </c>
      <c r="E6" s="15"/>
      <c r="H6" s="67"/>
      <c r="I6" s="67"/>
      <c r="J6" s="67"/>
      <c r="K6" s="67"/>
    </row>
    <row r="7" spans="2:15" ht="15" customHeight="1">
      <c r="B7" s="22"/>
      <c r="C7" s="59" t="s">
        <v>486</v>
      </c>
      <c r="D7" s="60">
        <f>Netzbetreiber!$D$11</f>
        <v>9870084600006</v>
      </c>
      <c r="E7" s="15"/>
      <c r="H7" s="67"/>
      <c r="I7" s="67"/>
      <c r="J7" s="67"/>
      <c r="K7" s="67"/>
    </row>
    <row r="8" spans="2:15" ht="15" customHeight="1">
      <c r="B8" s="22"/>
      <c r="C8" s="55" t="s">
        <v>133</v>
      </c>
      <c r="D8" s="49">
        <f>Netzbetreiber!$D$6</f>
        <v>44501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618</v>
      </c>
      <c r="D11" s="33" t="s">
        <v>619</v>
      </c>
      <c r="E11" s="15"/>
      <c r="H11" s="276" t="s">
        <v>619</v>
      </c>
      <c r="I11" s="276" t="s">
        <v>620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656</v>
      </c>
      <c r="D13" s="42" t="s">
        <v>670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72"/>
      <c r="I14" s="272"/>
      <c r="J14" s="272"/>
      <c r="K14" s="272"/>
      <c r="L14" s="273"/>
    </row>
    <row r="15" spans="2:15" ht="15" customHeight="1">
      <c r="B15" s="7" t="s">
        <v>83</v>
      </c>
      <c r="C15" s="31" t="s">
        <v>367</v>
      </c>
      <c r="D15" s="48" t="s">
        <v>258</v>
      </c>
      <c r="E15" s="15"/>
      <c r="H15" s="274" t="s">
        <v>258</v>
      </c>
      <c r="I15" s="274" t="s">
        <v>135</v>
      </c>
      <c r="J15" s="272"/>
      <c r="K15" s="272"/>
      <c r="L15" s="27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5" t="s">
        <v>578</v>
      </c>
      <c r="I16" s="275" t="s">
        <v>487</v>
      </c>
      <c r="J16" s="272"/>
      <c r="K16" s="272"/>
      <c r="L16" s="27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5" t="s">
        <v>488</v>
      </c>
      <c r="I17" s="275" t="s">
        <v>489</v>
      </c>
      <c r="J17" s="272"/>
      <c r="K17" s="272"/>
      <c r="L17" s="273"/>
    </row>
    <row r="18" spans="2:16" ht="15" customHeight="1">
      <c r="B18" s="22"/>
      <c r="C18" s="32"/>
      <c r="D18" s="16"/>
      <c r="E18" s="15"/>
      <c r="H18" s="275"/>
      <c r="I18" s="275"/>
      <c r="J18" s="272"/>
      <c r="K18" s="272"/>
      <c r="L18" s="273"/>
    </row>
    <row r="19" spans="2:16" ht="15" customHeight="1">
      <c r="B19" s="7" t="s">
        <v>84</v>
      </c>
      <c r="C19" s="8" t="s">
        <v>616</v>
      </c>
      <c r="D19" s="48" t="s">
        <v>612</v>
      </c>
      <c r="E19" s="15"/>
      <c r="H19" s="272" t="s">
        <v>612</v>
      </c>
      <c r="I19" s="272" t="s">
        <v>613</v>
      </c>
      <c r="J19" s="272"/>
      <c r="K19" s="8"/>
      <c r="L19" s="273"/>
    </row>
    <row r="20" spans="2:16" ht="15" customHeight="1">
      <c r="B20" s="7"/>
      <c r="C20" s="8" t="str">
        <f>HLOOKUP(D19,H19:I20,2,0)</f>
        <v>nach TU-München Verfahren</v>
      </c>
      <c r="D20" s="48" t="s">
        <v>614</v>
      </c>
      <c r="E20" s="15"/>
      <c r="H20" s="272" t="s">
        <v>615</v>
      </c>
      <c r="I20" s="8" t="s">
        <v>611</v>
      </c>
      <c r="J20" s="8"/>
      <c r="K20" s="8"/>
      <c r="L20" s="273"/>
    </row>
    <row r="21" spans="2:16" ht="15" customHeight="1">
      <c r="B21" s="22"/>
      <c r="C21" s="24" t="s">
        <v>617</v>
      </c>
      <c r="D21" s="24" t="str">
        <f>IF(D19=$H$19,L21,IF(D20=$H$21,M21,N21))</f>
        <v>=&gt;  Q(D) = KW  x  h(T, SLP-Typ)  x  F(WT)</v>
      </c>
      <c r="E21" s="15"/>
      <c r="H21" s="272" t="s">
        <v>614</v>
      </c>
      <c r="I21" s="272" t="s">
        <v>621</v>
      </c>
      <c r="J21" s="8"/>
      <c r="K21" s="8"/>
      <c r="L21" s="275" t="s">
        <v>622</v>
      </c>
      <c r="M21" s="275" t="s">
        <v>624</v>
      </c>
      <c r="N21" s="275" t="s">
        <v>623</v>
      </c>
      <c r="O21" s="8"/>
      <c r="P21" s="273"/>
    </row>
    <row r="22" spans="2:16" ht="15" customHeight="1">
      <c r="B22" s="22"/>
      <c r="C22" s="24"/>
      <c r="D22" s="15"/>
      <c r="E22" s="15"/>
      <c r="H22" s="272"/>
      <c r="I22" s="272"/>
      <c r="J22" s="272"/>
      <c r="K22" s="272"/>
      <c r="L22" s="273"/>
    </row>
    <row r="23" spans="2:16" ht="15" customHeight="1">
      <c r="B23" s="7" t="s">
        <v>85</v>
      </c>
      <c r="C23" s="6" t="s">
        <v>581</v>
      </c>
      <c r="D23" s="42" t="s">
        <v>136</v>
      </c>
      <c r="E23" s="15"/>
      <c r="H23" s="274" t="s">
        <v>134</v>
      </c>
      <c r="I23" s="274" t="s">
        <v>136</v>
      </c>
      <c r="J23" s="272"/>
      <c r="K23" s="272"/>
      <c r="L23" s="273"/>
    </row>
    <row r="24" spans="2:16" ht="15" customHeight="1">
      <c r="B24" s="7"/>
      <c r="C24" s="6" t="s">
        <v>625</v>
      </c>
      <c r="D24" s="42" t="s">
        <v>626</v>
      </c>
      <c r="E24" s="15"/>
      <c r="H24" s="308" t="s">
        <v>626</v>
      </c>
      <c r="I24" s="274" t="s">
        <v>627</v>
      </c>
      <c r="J24" s="274" t="s">
        <v>628</v>
      </c>
      <c r="K24" s="272"/>
      <c r="L24" s="273"/>
    </row>
    <row r="25" spans="2:16" ht="15" customHeight="1">
      <c r="B25" s="22"/>
      <c r="C25" s="15" t="str">
        <f>HLOOKUP(D24,H24:J25,2,0)</f>
        <v>=&gt; Q(Allokation)  =  Q(Synth.);    F(kor) = 1</v>
      </c>
      <c r="D25" s="309">
        <v>1</v>
      </c>
      <c r="E25" s="15"/>
      <c r="H25" s="275" t="s">
        <v>629</v>
      </c>
      <c r="I25" s="275" t="s">
        <v>630</v>
      </c>
      <c r="J25" s="275" t="s">
        <v>631</v>
      </c>
      <c r="K25" s="272"/>
      <c r="L25" s="273"/>
    </row>
    <row r="26" spans="2:16" ht="15" customHeight="1">
      <c r="B26" s="22"/>
      <c r="C26" s="15" t="str">
        <f>HLOOKUP(D24,H24:J26,3,0)</f>
        <v xml:space="preserve"> </v>
      </c>
      <c r="D26" s="310"/>
      <c r="E26" s="15"/>
      <c r="H26" s="275" t="s">
        <v>632</v>
      </c>
      <c r="I26" s="275" t="s">
        <v>633</v>
      </c>
      <c r="J26" s="275" t="s">
        <v>634</v>
      </c>
      <c r="K26" s="272"/>
      <c r="L26" s="273"/>
    </row>
    <row r="27" spans="2:16" ht="15" customHeight="1">
      <c r="B27" s="22"/>
      <c r="C27" s="24"/>
      <c r="D27" s="15"/>
      <c r="E27" s="15"/>
      <c r="H27" s="272"/>
      <c r="I27" s="272"/>
      <c r="J27" s="272"/>
      <c r="K27" s="272"/>
      <c r="L27" s="273"/>
    </row>
    <row r="28" spans="2:16" ht="15" customHeight="1">
      <c r="B28" s="7" t="s">
        <v>369</v>
      </c>
      <c r="C28" s="6" t="s">
        <v>580</v>
      </c>
      <c r="D28" s="42" t="s">
        <v>136</v>
      </c>
      <c r="E28" s="15"/>
      <c r="H28" s="274" t="s">
        <v>134</v>
      </c>
      <c r="I28" s="274" t="s">
        <v>136</v>
      </c>
      <c r="J28" s="272"/>
      <c r="K28" s="272"/>
      <c r="L28" s="27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5" t="s">
        <v>635</v>
      </c>
      <c r="I29" s="275" t="s">
        <v>636</v>
      </c>
      <c r="J29" s="272"/>
      <c r="K29" s="272"/>
      <c r="L29" s="27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5" t="s">
        <v>637</v>
      </c>
      <c r="I30" s="272" t="s">
        <v>632</v>
      </c>
      <c r="J30" s="272"/>
      <c r="K30" s="272"/>
      <c r="L30" s="273"/>
    </row>
    <row r="31" spans="2:16" ht="15" customHeight="1">
      <c r="B31" s="22"/>
      <c r="C31" s="24"/>
      <c r="D31" s="15"/>
      <c r="E31" s="15"/>
      <c r="H31" s="272"/>
      <c r="I31" s="272"/>
      <c r="J31" s="272"/>
      <c r="K31" s="272"/>
      <c r="L31" s="273"/>
    </row>
    <row r="32" spans="2:16" ht="15" customHeight="1">
      <c r="B32" s="23" t="s">
        <v>492</v>
      </c>
      <c r="C32" s="24" t="s">
        <v>495</v>
      </c>
      <c r="D32" s="268">
        <v>4</v>
      </c>
      <c r="E32" s="15"/>
      <c r="H32" s="272"/>
      <c r="I32" s="272"/>
      <c r="J32" s="272"/>
      <c r="K32" s="272"/>
      <c r="L32" s="273"/>
    </row>
    <row r="33" spans="2:39" ht="15" customHeight="1">
      <c r="B33" s="22"/>
      <c r="C33" s="24"/>
      <c r="D33" s="15"/>
      <c r="E33" s="15"/>
      <c r="H33" s="272"/>
      <c r="I33" s="272"/>
      <c r="J33" s="272"/>
      <c r="K33" s="272"/>
      <c r="L33" s="273"/>
    </row>
    <row r="34" spans="2:39" ht="15" customHeight="1">
      <c r="B34" s="7" t="s">
        <v>552</v>
      </c>
      <c r="C34" s="5" t="s">
        <v>364</v>
      </c>
      <c r="D34" s="34">
        <v>1500000</v>
      </c>
      <c r="E34" s="15" t="s">
        <v>508</v>
      </c>
      <c r="I34" s="272"/>
      <c r="J34" s="272"/>
      <c r="K34" s="272"/>
      <c r="L34" s="272"/>
      <c r="M34" s="273"/>
    </row>
    <row r="35" spans="2:39" customFormat="1" ht="15" customHeight="1">
      <c r="C35" s="8" t="s">
        <v>490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553</v>
      </c>
      <c r="C37" s="5" t="s">
        <v>365</v>
      </c>
      <c r="D37" s="36">
        <v>500</v>
      </c>
      <c r="E37" s="15" t="s">
        <v>544</v>
      </c>
      <c r="H37" s="67"/>
      <c r="I37" s="67"/>
      <c r="J37" s="67"/>
      <c r="K37" s="67"/>
    </row>
    <row r="38" spans="2:39" ht="15" customHeight="1">
      <c r="C38" s="8" t="s">
        <v>491</v>
      </c>
    </row>
    <row r="39" spans="2:39" ht="15" customHeight="1">
      <c r="B39" s="7"/>
      <c r="C39" s="3"/>
    </row>
    <row r="40" spans="2:39" ht="15" customHeight="1">
      <c r="B40" s="7"/>
      <c r="C40" s="3" t="s">
        <v>543</v>
      </c>
    </row>
    <row r="41" spans="2:39" ht="18" customHeight="1">
      <c r="C41" s="3" t="s">
        <v>545</v>
      </c>
    </row>
    <row r="42" spans="2:39" ht="18" customHeight="1">
      <c r="C42" s="3"/>
    </row>
    <row r="43" spans="2:39" ht="15" customHeight="1">
      <c r="B43" s="22" t="s">
        <v>554</v>
      </c>
      <c r="C43" s="59" t="s">
        <v>579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589</v>
      </c>
      <c r="D45" s="44" t="s">
        <v>668</v>
      </c>
    </row>
    <row r="46" spans="2:39" ht="18" customHeight="1">
      <c r="C46" s="22" t="s">
        <v>590</v>
      </c>
      <c r="D46" s="44"/>
    </row>
    <row r="47" spans="2:39" ht="18" customHeight="1">
      <c r="C47" s="22" t="s">
        <v>591</v>
      </c>
      <c r="D47" s="44"/>
    </row>
    <row r="48" spans="2:39" ht="18" customHeight="1">
      <c r="C48" s="22" t="s">
        <v>592</v>
      </c>
      <c r="D48" s="44"/>
    </row>
    <row r="49" spans="3:4" ht="18" customHeight="1">
      <c r="C49" s="22" t="s">
        <v>593</v>
      </c>
      <c r="D49" s="44"/>
    </row>
    <row r="50" spans="3:4" ht="18" customHeight="1">
      <c r="C50" s="22" t="s">
        <v>594</v>
      </c>
      <c r="D50" s="44"/>
    </row>
    <row r="51" spans="3:4" ht="18" customHeight="1">
      <c r="C51" s="22" t="s">
        <v>595</v>
      </c>
      <c r="D51" s="44"/>
    </row>
    <row r="52" spans="3:4" ht="18" customHeight="1">
      <c r="C52" s="22" t="s">
        <v>596</v>
      </c>
      <c r="D52" s="44"/>
    </row>
    <row r="53" spans="3:4" ht="18" customHeight="1">
      <c r="C53" s="22" t="s">
        <v>597</v>
      </c>
      <c r="D53" s="44"/>
    </row>
    <row r="54" spans="3:4" ht="18" customHeight="1">
      <c r="C54" s="22" t="s">
        <v>598</v>
      </c>
      <c r="D54" s="44"/>
    </row>
    <row r="55" spans="3:4" ht="18" customHeight="1">
      <c r="C55" s="22" t="s">
        <v>599</v>
      </c>
      <c r="D55" s="44"/>
    </row>
    <row r="56" spans="3:4" ht="18" customHeight="1">
      <c r="C56" s="22" t="s">
        <v>600</v>
      </c>
      <c r="D56" s="44"/>
    </row>
    <row r="57" spans="3:4" ht="18" customHeight="1">
      <c r="C57" s="22" t="s">
        <v>601</v>
      </c>
      <c r="D57" s="44"/>
    </row>
    <row r="58" spans="3:4" ht="18" customHeight="1">
      <c r="C58" s="22" t="s">
        <v>602</v>
      </c>
      <c r="D58" s="44"/>
    </row>
    <row r="59" spans="3:4" ht="18" customHeight="1">
      <c r="C59" s="22" t="s">
        <v>603</v>
      </c>
      <c r="D59" s="44"/>
    </row>
  </sheetData>
  <conditionalFormatting sqref="D13">
    <cfRule type="expression" dxfId="54" priority="20">
      <formula>IF(#REF!="Gaspool",1,0)</formula>
    </cfRule>
  </conditionalFormatting>
  <conditionalFormatting sqref="D45:D59">
    <cfRule type="expression" dxfId="53" priority="16">
      <formula>IF(CELL("Zeile",D45)&lt;$D$43+CELL("Zeile",$D$45),1,0)</formula>
    </cfRule>
  </conditionalFormatting>
  <conditionalFormatting sqref="D46:D59">
    <cfRule type="expression" dxfId="52" priority="15">
      <formula>IF(CELL(D46)&lt;$D$33+27,1,0)</formula>
    </cfRule>
  </conditionalFormatting>
  <conditionalFormatting sqref="D20">
    <cfRule type="expression" dxfId="51" priority="14">
      <formula>IF($D$19=$H$19,1,0)</formula>
    </cfRule>
  </conditionalFormatting>
  <conditionalFormatting sqref="D28">
    <cfRule type="expression" dxfId="50" priority="3">
      <formula>IF($D$15="synthetisch",1,0)</formula>
    </cfRule>
  </conditionalFormatting>
  <conditionalFormatting sqref="D25">
    <cfRule type="expression" dxfId="49" priority="1">
      <formula>IF(AND($D$24=$I$24,$D$23=$H$23),1,0)</formula>
    </cfRule>
  </conditionalFormatting>
  <conditionalFormatting sqref="D23:D25">
    <cfRule type="expression" dxfId="48" priority="4">
      <formula>IF($D$15="analytisch",1,0)</formula>
    </cfRule>
  </conditionalFormatting>
  <conditionalFormatting sqref="D24">
    <cfRule type="expression" dxfId="47" priority="2">
      <formula>IF($D$23="nein",1)</formula>
    </cfRule>
  </conditionalFormatting>
  <dataValidations count="9">
    <dataValidation type="list" allowBlank="1" showInputMessage="1" showErrorMessage="1" sqref="D15">
      <formula1>$H$15:$I$15</formula1>
    </dataValidation>
    <dataValidation type="whole" allowBlank="1" showInputMessage="1" showErrorMessage="1" sqref="D32">
      <formula1>1</formula1>
      <formula2>200</formula2>
    </dataValidation>
    <dataValidation type="list" allowBlank="1" showInputMessage="1" showErrorMessage="1" sqref="D43">
      <formula1>$H$43:$V$43</formula1>
    </dataValidation>
    <dataValidation type="list" allowBlank="1" showInputMessage="1" showErrorMessage="1" sqref="D19">
      <formula1>$H$19:$I$19</formula1>
    </dataValidation>
    <dataValidation type="list" allowBlank="1" showInputMessage="1" showErrorMessage="1" sqref="D20">
      <formula1>$H$21:$I$21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D24">
      <formula1>$H$24:$J$24</formula1>
    </dataValidation>
    <dataValidation type="list" allowBlank="1" showInputMessage="1" showErrorMessage="1" sqref="D23">
      <formula1>$H$23:$I$23</formula1>
    </dataValidation>
    <dataValidation type="list" allowBlank="1" showInputMessage="1" showErrorMessage="1" sqref="D28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DV79"/>
  <sheetViews>
    <sheetView showGridLines="0" zoomScaleNormal="100" workbookViewId="0">
      <selection activeCell="G39" sqref="G39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5" width="22" style="128" customWidth="1"/>
    <col min="6" max="14" width="12.7109375" style="128" customWidth="1"/>
    <col min="15" max="15" width="34.140625" style="128" customWidth="1"/>
    <col min="16" max="16" width="7.28515625" style="170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" customHeight="1"/>
    <row r="2" spans="1:56" ht="23.25">
      <c r="B2" s="171" t="s">
        <v>547</v>
      </c>
    </row>
    <row r="3" spans="1:56" ht="15" customHeight="1">
      <c r="B3" s="171"/>
    </row>
    <row r="4" spans="1:56">
      <c r="B4" s="130"/>
      <c r="C4" s="55" t="s">
        <v>443</v>
      </c>
      <c r="D4" s="56"/>
      <c r="E4" s="57" t="s">
        <v>485</v>
      </c>
      <c r="F4" s="130"/>
      <c r="M4" s="130"/>
      <c r="N4" s="130"/>
      <c r="O4" s="130"/>
    </row>
    <row r="5" spans="1:56">
      <c r="B5" s="130"/>
      <c r="C5" s="55" t="s">
        <v>442</v>
      </c>
      <c r="D5" s="56"/>
      <c r="E5" s="57" t="str">
        <f>Netzbetreiber!D28</f>
        <v>Netzgebiet der SW Senftenberg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486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525</v>
      </c>
      <c r="D9" s="130"/>
      <c r="E9" s="130"/>
      <c r="F9" s="154">
        <f>'SLP-Verfahren'!D43</f>
        <v>1</v>
      </c>
      <c r="H9" s="172" t="s">
        <v>604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588</v>
      </c>
      <c r="D10" s="130"/>
      <c r="E10" s="130"/>
      <c r="F10" s="299">
        <v>1</v>
      </c>
      <c r="G10" s="56"/>
      <c r="H10" s="172" t="s">
        <v>605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606</v>
      </c>
      <c r="D11" s="130"/>
      <c r="E11" s="130"/>
      <c r="F11" s="296" t="str">
        <f>INDEX('SLP-Verfahren'!D45:D59,'SLP-Temp-Gebiet #01'!F10)</f>
        <v>Wetterstation Klettwitz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1" t="s">
        <v>587</v>
      </c>
      <c r="D13" s="351"/>
      <c r="E13" s="351"/>
      <c r="F13" s="183" t="s">
        <v>551</v>
      </c>
      <c r="G13" s="130" t="s">
        <v>549</v>
      </c>
      <c r="H13" s="265" t="s">
        <v>566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2" t="s">
        <v>446</v>
      </c>
      <c r="D14" s="352"/>
      <c r="E14" s="89" t="s">
        <v>447</v>
      </c>
      <c r="F14" s="266" t="s">
        <v>85</v>
      </c>
      <c r="G14" s="267" t="s">
        <v>575</v>
      </c>
      <c r="H14" s="50">
        <v>0</v>
      </c>
      <c r="I14" s="56"/>
      <c r="J14" s="130"/>
      <c r="K14" s="130"/>
      <c r="L14" s="130"/>
      <c r="M14" s="130"/>
      <c r="N14" s="130"/>
      <c r="O14" s="173" t="s">
        <v>530</v>
      </c>
      <c r="R14" s="209" t="s">
        <v>567</v>
      </c>
      <c r="S14" s="209" t="s">
        <v>568</v>
      </c>
      <c r="T14" s="209" t="s">
        <v>569</v>
      </c>
      <c r="U14" s="209" t="s">
        <v>570</v>
      </c>
      <c r="V14" s="209" t="s">
        <v>550</v>
      </c>
      <c r="W14" s="209" t="s">
        <v>571</v>
      </c>
      <c r="X14" s="209" t="s">
        <v>572</v>
      </c>
      <c r="Y14" s="209" t="s">
        <v>573</v>
      </c>
      <c r="Z14" s="209" t="s">
        <v>574</v>
      </c>
      <c r="AA14" s="209" t="s">
        <v>575</v>
      </c>
      <c r="AB14" s="209" t="s">
        <v>576</v>
      </c>
      <c r="AC14" s="209" t="s">
        <v>577</v>
      </c>
    </row>
    <row r="15" spans="1:56" ht="19.5" customHeight="1">
      <c r="B15" s="130"/>
      <c r="C15" s="352" t="s">
        <v>386</v>
      </c>
      <c r="D15" s="352"/>
      <c r="E15" s="89" t="s">
        <v>447</v>
      </c>
      <c r="F15" s="266" t="s">
        <v>71</v>
      </c>
      <c r="G15" s="267" t="s">
        <v>569</v>
      </c>
      <c r="H15" s="50">
        <v>0</v>
      </c>
      <c r="I15" s="56"/>
      <c r="J15" s="130"/>
      <c r="K15" s="130"/>
      <c r="L15" s="130"/>
      <c r="M15" s="130"/>
      <c r="N15" s="130"/>
      <c r="O15" s="161" t="s">
        <v>139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369</v>
      </c>
      <c r="AH15" s="264" t="s">
        <v>492</v>
      </c>
      <c r="AI15" s="264" t="s">
        <v>552</v>
      </c>
      <c r="AJ15" s="264" t="s">
        <v>553</v>
      </c>
      <c r="AK15" s="264" t="s">
        <v>554</v>
      </c>
      <c r="AL15" s="264" t="s">
        <v>555</v>
      </c>
      <c r="AM15" s="264" t="s">
        <v>556</v>
      </c>
      <c r="AN15" s="264" t="s">
        <v>557</v>
      </c>
      <c r="AO15" s="264" t="s">
        <v>558</v>
      </c>
      <c r="AP15" s="264" t="s">
        <v>559</v>
      </c>
      <c r="AQ15" s="264" t="s">
        <v>560</v>
      </c>
      <c r="AR15" s="264" t="s">
        <v>561</v>
      </c>
      <c r="AS15" s="264" t="s">
        <v>562</v>
      </c>
      <c r="AT15" s="264" t="s">
        <v>563</v>
      </c>
      <c r="AU15" s="264" t="s">
        <v>564</v>
      </c>
      <c r="AV15" s="264" t="s">
        <v>565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1:28" ht="19.5" customHeight="1">
      <c r="B17" s="176" t="s">
        <v>520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1:28">
      <c r="B18" s="130"/>
      <c r="C18" s="55" t="s">
        <v>526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1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1:28" ht="33.75" customHeight="1">
      <c r="B20" s="130"/>
      <c r="C20" s="179" t="s">
        <v>521</v>
      </c>
      <c r="D20" s="180" t="s">
        <v>516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83"/>
      <c r="C21" s="184" t="s">
        <v>528</v>
      </c>
      <c r="D21" s="153" t="s">
        <v>518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83"/>
      <c r="C22" s="184" t="s">
        <v>540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83"/>
      <c r="C23" s="187" t="s">
        <v>137</v>
      </c>
      <c r="D23" s="188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504</v>
      </c>
      <c r="T23" s="297" t="str">
        <f>O15</f>
        <v>DWD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83"/>
      <c r="C24" s="187" t="s">
        <v>523</v>
      </c>
      <c r="D24" s="188"/>
      <c r="E24" s="156" t="s">
        <v>669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5" t="s">
        <v>524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83"/>
      <c r="C25" s="187" t="s">
        <v>517</v>
      </c>
      <c r="D25" s="188"/>
      <c r="E25" s="160">
        <v>2627</v>
      </c>
      <c r="F25" s="160" t="s">
        <v>362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83"/>
      <c r="C26" s="187" t="s">
        <v>141</v>
      </c>
      <c r="D26" s="188"/>
      <c r="E26" s="156" t="s">
        <v>659</v>
      </c>
      <c r="F26" s="156" t="s">
        <v>505</v>
      </c>
      <c r="G26" s="156" t="s">
        <v>505</v>
      </c>
      <c r="H26" s="156" t="s">
        <v>505</v>
      </c>
      <c r="I26" s="156" t="s">
        <v>505</v>
      </c>
      <c r="J26" s="156" t="s">
        <v>505</v>
      </c>
      <c r="K26" s="156" t="s">
        <v>505</v>
      </c>
      <c r="L26" s="156" t="s">
        <v>505</v>
      </c>
      <c r="M26" s="156" t="s">
        <v>505</v>
      </c>
      <c r="N26" s="156" t="s">
        <v>505</v>
      </c>
      <c r="O26" s="185" t="s">
        <v>142</v>
      </c>
      <c r="Q26" s="211"/>
      <c r="R26" s="209" t="s">
        <v>505</v>
      </c>
      <c r="S26" s="209" t="s">
        <v>658</v>
      </c>
      <c r="T26" s="209" t="s">
        <v>659</v>
      </c>
      <c r="U26" s="209" t="s">
        <v>506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47"/>
      <c r="C27" s="348" t="s">
        <v>657</v>
      </c>
      <c r="D27" s="349"/>
      <c r="E27" s="349" t="str">
        <f>IF(E26="Individuelle GPT",CONCATENATE(Netzbetreiber!$D$11,'SLP-Temp-Gebiet #01'!E25,"B"),IF('SLP-Temp-Gebiet #01'!E26="Allgemeine GPT",CONCATENATE(Netzbetreiber!$D$11,'SLP-Temp-Gebiet #01'!E25,"A"),""))</f>
        <v>98700846000062627A</v>
      </c>
      <c r="F27" s="349" t="str">
        <f>IF(F26="Individuelle GPT",CONCATENATE(Netzbetreiber!$D$11,'SLP-Temp-Gebiet #01'!F25,"B"),IF('SLP-Temp-Gebiet #01'!F26="Allgemeine GPT",CONCATENATE(Netzbetreiber!$D$11,'SLP-Temp-Gebiet #01'!F25,"A"),""))</f>
        <v/>
      </c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143</v>
      </c>
      <c r="P27" s="13"/>
      <c r="Q27" s="211"/>
      <c r="R27" s="209" t="s">
        <v>505</v>
      </c>
      <c r="S27" s="209" t="s">
        <v>506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30"/>
      <c r="C29" s="55" t="s">
        <v>522</v>
      </c>
      <c r="D29" s="130"/>
      <c r="E29" s="130"/>
      <c r="F29" s="48">
        <v>1</v>
      </c>
      <c r="H29" s="130"/>
      <c r="I29" s="172"/>
      <c r="J29" s="130"/>
      <c r="K29" s="130"/>
      <c r="L29" s="130"/>
      <c r="M29" s="130"/>
      <c r="N29" s="130"/>
      <c r="O29" s="130"/>
    </row>
    <row r="30" spans="1:28" ht="15" customHeight="1">
      <c r="E30" s="178">
        <f>IF(E31&gt;$F$29,0,1)</f>
        <v>1</v>
      </c>
      <c r="F30" s="178">
        <f t="shared" ref="F30:N30" si="2">IF(F31&gt;$F$29,0,1)</f>
        <v>0</v>
      </c>
      <c r="G30" s="178">
        <f t="shared" si="2"/>
        <v>0</v>
      </c>
      <c r="H30" s="178">
        <f t="shared" si="2"/>
        <v>0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83"/>
      <c r="C31" s="179" t="s">
        <v>140</v>
      </c>
      <c r="D31" s="180" t="s">
        <v>257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144</v>
      </c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83"/>
      <c r="C32" s="184" t="s">
        <v>529</v>
      </c>
      <c r="D32" s="186" t="s">
        <v>256</v>
      </c>
      <c r="E32" s="287">
        <f>1-SUMPRODUCT(F30:N30,F32:N32)</f>
        <v>1</v>
      </c>
      <c r="F32" s="287">
        <f>ROUND(F33/$D$33,4)</f>
        <v>0.5</v>
      </c>
      <c r="G32" s="287">
        <f t="shared" ref="G32:N32" si="3">ROUND(G33/$D$33,4)</f>
        <v>0.25</v>
      </c>
      <c r="H32" s="287">
        <f t="shared" si="3"/>
        <v>0.125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  <c r="N32" s="287">
        <f t="shared" si="3"/>
        <v>0</v>
      </c>
      <c r="O32" s="185"/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4" t="s">
        <v>536</v>
      </c>
      <c r="D33" s="293">
        <f>SUMPRODUCT(E33:N33,E30:N30)</f>
        <v>1</v>
      </c>
      <c r="E33" s="288">
        <v>1</v>
      </c>
      <c r="F33" s="288">
        <v>0.5</v>
      </c>
      <c r="G33" s="288">
        <v>0.25</v>
      </c>
      <c r="H33" s="288">
        <v>0.125</v>
      </c>
      <c r="I33" s="155"/>
      <c r="J33" s="155"/>
      <c r="K33" s="155"/>
      <c r="L33" s="155"/>
      <c r="M33" s="155"/>
      <c r="N33" s="155"/>
      <c r="O33" s="185" t="s">
        <v>145</v>
      </c>
      <c r="Q33" s="211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83"/>
      <c r="C34" s="187" t="s">
        <v>360</v>
      </c>
      <c r="D34" s="153" t="s">
        <v>359</v>
      </c>
      <c r="E34" s="156" t="s">
        <v>3</v>
      </c>
      <c r="F34" s="156" t="s">
        <v>358</v>
      </c>
      <c r="G34" s="156" t="s">
        <v>349</v>
      </c>
      <c r="H34" s="156" t="s">
        <v>350</v>
      </c>
      <c r="I34" s="156"/>
      <c r="J34" s="156"/>
      <c r="K34" s="156"/>
      <c r="L34" s="156"/>
      <c r="M34" s="156"/>
      <c r="N34" s="156"/>
      <c r="O34" s="185" t="s">
        <v>142</v>
      </c>
      <c r="Q34" s="211"/>
      <c r="R34" s="67" t="s">
        <v>3</v>
      </c>
      <c r="S34" s="67" t="s">
        <v>358</v>
      </c>
      <c r="T34" s="67" t="s">
        <v>349</v>
      </c>
      <c r="U34" s="67" t="s">
        <v>350</v>
      </c>
      <c r="V34" s="67" t="s">
        <v>351</v>
      </c>
      <c r="W34" s="67" t="s">
        <v>352</v>
      </c>
      <c r="X34" s="67" t="s">
        <v>353</v>
      </c>
      <c r="Y34" s="67" t="s">
        <v>354</v>
      </c>
      <c r="Z34" s="67" t="s">
        <v>355</v>
      </c>
      <c r="AA34" s="67" t="s">
        <v>356</v>
      </c>
      <c r="AB34" s="67" t="s">
        <v>357</v>
      </c>
    </row>
    <row r="35" spans="2:28">
      <c r="B35" s="183"/>
      <c r="C35" s="187" t="s">
        <v>449</v>
      </c>
      <c r="D35" s="153" t="s">
        <v>448</v>
      </c>
      <c r="E35" s="156" t="s">
        <v>514</v>
      </c>
      <c r="F35" s="156" t="s">
        <v>514</v>
      </c>
      <c r="G35" s="156" t="s">
        <v>514</v>
      </c>
      <c r="H35" s="156" t="s">
        <v>514</v>
      </c>
      <c r="I35" s="162"/>
      <c r="J35" s="162"/>
      <c r="K35" s="162"/>
      <c r="L35" s="162"/>
      <c r="M35" s="162"/>
      <c r="N35" s="162"/>
      <c r="O35" s="185" t="s">
        <v>142</v>
      </c>
      <c r="Q35" s="211"/>
      <c r="R35" s="67" t="s">
        <v>514</v>
      </c>
      <c r="S35" s="67" t="s">
        <v>515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87" t="s">
        <v>608</v>
      </c>
      <c r="D36" s="153" t="s">
        <v>609</v>
      </c>
      <c r="E36" s="156" t="s">
        <v>607</v>
      </c>
      <c r="F36" s="156" t="s">
        <v>607</v>
      </c>
      <c r="G36" s="156" t="s">
        <v>607</v>
      </c>
      <c r="H36" s="156" t="s">
        <v>607</v>
      </c>
      <c r="I36" s="156" t="s">
        <v>607</v>
      </c>
      <c r="J36" s="156" t="s">
        <v>607</v>
      </c>
      <c r="K36" s="156" t="s">
        <v>607</v>
      </c>
      <c r="L36" s="156" t="s">
        <v>607</v>
      </c>
      <c r="M36" s="156" t="s">
        <v>607</v>
      </c>
      <c r="N36" s="156" t="s">
        <v>607</v>
      </c>
      <c r="O36" s="185" t="s">
        <v>142</v>
      </c>
      <c r="Q36" s="211"/>
      <c r="R36" s="67" t="s">
        <v>607</v>
      </c>
      <c r="S36" s="67" t="s">
        <v>610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83"/>
      <c r="C37" s="192" t="s">
        <v>441</v>
      </c>
      <c r="D37" s="119" t="s">
        <v>541</v>
      </c>
      <c r="E37" s="162" t="s">
        <v>450</v>
      </c>
      <c r="F37" s="162" t="s">
        <v>450</v>
      </c>
      <c r="G37" s="162" t="s">
        <v>451</v>
      </c>
      <c r="H37" s="162" t="s">
        <v>451</v>
      </c>
      <c r="I37" s="162"/>
      <c r="J37" s="162"/>
      <c r="K37" s="162"/>
      <c r="L37" s="162"/>
      <c r="M37" s="162"/>
      <c r="N37" s="162"/>
      <c r="O37" s="185" t="s">
        <v>142</v>
      </c>
      <c r="Q37" s="211"/>
      <c r="R37" s="67" t="s">
        <v>451</v>
      </c>
      <c r="S37" s="67" t="s">
        <v>450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28">
      <c r="B39" s="193"/>
      <c r="C39" s="194" t="s">
        <v>268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348</v>
      </c>
      <c r="D40" s="198"/>
      <c r="E40" s="198" t="s">
        <v>534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535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527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532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533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538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539</v>
      </c>
      <c r="D47" s="201" t="s">
        <v>537</v>
      </c>
      <c r="E47" s="294">
        <v>1</v>
      </c>
      <c r="F47" s="294">
        <v>0</v>
      </c>
      <c r="G47" s="294">
        <v>0</v>
      </c>
      <c r="H47" s="294">
        <v>0</v>
      </c>
      <c r="I47" s="294">
        <v>0</v>
      </c>
      <c r="J47" s="294" t="s">
        <v>361</v>
      </c>
      <c r="K47" s="198"/>
      <c r="L47" s="198"/>
      <c r="M47" s="198"/>
      <c r="N47" s="198"/>
      <c r="O47" s="199"/>
    </row>
    <row r="48" spans="2:28">
      <c r="B48" s="193"/>
      <c r="C48" s="200" t="s">
        <v>347</v>
      </c>
      <c r="D48" s="201" t="s">
        <v>537</v>
      </c>
      <c r="E48" s="294">
        <v>1</v>
      </c>
      <c r="F48" s="294">
        <v>0.5</v>
      </c>
      <c r="G48" s="294">
        <v>0.25</v>
      </c>
      <c r="H48" s="294">
        <v>0.125</v>
      </c>
      <c r="I48" s="294">
        <v>0</v>
      </c>
      <c r="J48" s="294" t="s">
        <v>361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8.75">
      <c r="B51" s="176" t="s">
        <v>582</v>
      </c>
      <c r="C51" s="177"/>
      <c r="D51" s="177"/>
      <c r="E51" s="177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2:28">
      <c r="B52" s="130"/>
      <c r="C52" s="193"/>
      <c r="D52" s="193"/>
      <c r="E52" s="193"/>
      <c r="F52" s="193"/>
      <c r="G52" s="193"/>
      <c r="H52" s="193"/>
      <c r="I52" s="208"/>
      <c r="J52" s="130"/>
      <c r="K52" s="130"/>
      <c r="L52" s="130"/>
      <c r="M52" s="130"/>
      <c r="N52" s="130"/>
      <c r="O52" s="130"/>
    </row>
    <row r="53" spans="2:28">
      <c r="B53" s="130"/>
      <c r="C53" s="55" t="s">
        <v>546</v>
      </c>
      <c r="D53" s="130"/>
      <c r="E53" s="130"/>
      <c r="F53" s="157">
        <f>F18</f>
        <v>1</v>
      </c>
      <c r="H53" s="130"/>
      <c r="I53" s="172"/>
      <c r="J53" s="130"/>
      <c r="K53" s="130"/>
      <c r="L53" s="130"/>
      <c r="M53" s="130"/>
      <c r="N53" s="130"/>
      <c r="O53" s="130"/>
    </row>
    <row r="54" spans="2:28" ht="15" customHeight="1">
      <c r="B54" s="130"/>
      <c r="C54" s="130"/>
      <c r="E54" s="178">
        <f>IF(E55&gt;$F$53,0,1)</f>
        <v>1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0"/>
    </row>
    <row r="55" spans="2:28" ht="33.75" customHeight="1">
      <c r="B55" s="130"/>
      <c r="C55" s="179" t="s">
        <v>521</v>
      </c>
      <c r="D55" s="180" t="s">
        <v>516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144</v>
      </c>
      <c r="W55" s="67"/>
      <c r="X55" s="67"/>
      <c r="Y55" s="67"/>
      <c r="Z55" s="67"/>
      <c r="AA55" s="67"/>
      <c r="AB55" s="67"/>
    </row>
    <row r="56" spans="2:28">
      <c r="B56" s="183"/>
      <c r="C56" s="184" t="s">
        <v>528</v>
      </c>
      <c r="D56" s="153" t="s">
        <v>518</v>
      </c>
      <c r="E56" s="287">
        <f>1-SUMPRODUCT(F54:N54,F56:N56)</f>
        <v>1</v>
      </c>
      <c r="F56" s="287">
        <f>ROUND(F57/$D$57,4)</f>
        <v>1</v>
      </c>
      <c r="G56" s="287">
        <f t="shared" ref="G56:N56" si="5">ROUND(G57/$D$57,4)</f>
        <v>0</v>
      </c>
      <c r="H56" s="287">
        <f t="shared" si="5"/>
        <v>0</v>
      </c>
      <c r="I56" s="287">
        <f t="shared" si="5"/>
        <v>0</v>
      </c>
      <c r="J56" s="287">
        <f t="shared" si="5"/>
        <v>0</v>
      </c>
      <c r="K56" s="287">
        <f t="shared" si="5"/>
        <v>0</v>
      </c>
      <c r="L56" s="287">
        <f t="shared" si="5"/>
        <v>0</v>
      </c>
      <c r="M56" s="287">
        <f t="shared" si="5"/>
        <v>0</v>
      </c>
      <c r="N56" s="287">
        <f t="shared" si="5"/>
        <v>0</v>
      </c>
      <c r="O56" s="185"/>
      <c r="W56" s="67"/>
      <c r="X56" s="67"/>
      <c r="Y56" s="67"/>
      <c r="Z56" s="67"/>
      <c r="AA56" s="67"/>
      <c r="AB56" s="67"/>
    </row>
    <row r="57" spans="2:28">
      <c r="B57" s="183"/>
      <c r="C57" s="184" t="s">
        <v>540</v>
      </c>
      <c r="D57" s="186">
        <f>SUMPRODUCT(E57:N57,E54:N54)</f>
        <v>1</v>
      </c>
      <c r="E57" s="288">
        <f>E22</f>
        <v>1</v>
      </c>
      <c r="F57" s="288">
        <f t="shared" ref="F57:N57" si="6">F22</f>
        <v>1</v>
      </c>
      <c r="G57" s="288">
        <f t="shared" si="6"/>
        <v>0</v>
      </c>
      <c r="H57" s="288">
        <f t="shared" si="6"/>
        <v>0</v>
      </c>
      <c r="I57" s="288">
        <f t="shared" si="6"/>
        <v>0</v>
      </c>
      <c r="J57" s="288">
        <f t="shared" si="6"/>
        <v>0</v>
      </c>
      <c r="K57" s="288">
        <f t="shared" si="6"/>
        <v>0</v>
      </c>
      <c r="L57" s="288">
        <f t="shared" si="6"/>
        <v>0</v>
      </c>
      <c r="M57" s="288">
        <f t="shared" si="6"/>
        <v>0</v>
      </c>
      <c r="N57" s="288">
        <f t="shared" si="6"/>
        <v>0</v>
      </c>
      <c r="O57" s="185" t="s">
        <v>145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137</v>
      </c>
      <c r="D58" s="188"/>
      <c r="E58" s="156" t="str">
        <f>E23</f>
        <v>DWD</v>
      </c>
      <c r="F58" s="156" t="str">
        <f t="shared" ref="F58:N58" si="7">F23</f>
        <v>DWD</v>
      </c>
      <c r="G58" s="156" t="str">
        <f t="shared" si="7"/>
        <v>DWD</v>
      </c>
      <c r="H58" s="156" t="str">
        <f t="shared" si="7"/>
        <v>DWD</v>
      </c>
      <c r="I58" s="156" t="str">
        <f t="shared" si="7"/>
        <v>DWD</v>
      </c>
      <c r="J58" s="156" t="str">
        <f t="shared" si="7"/>
        <v>DWD</v>
      </c>
      <c r="K58" s="156" t="str">
        <f t="shared" si="7"/>
        <v>DWD</v>
      </c>
      <c r="L58" s="156" t="str">
        <f t="shared" si="7"/>
        <v>DWD</v>
      </c>
      <c r="M58" s="156" t="str">
        <f t="shared" si="7"/>
        <v>DWD</v>
      </c>
      <c r="N58" s="156" t="str">
        <f t="shared" si="7"/>
        <v>DWD</v>
      </c>
      <c r="O58" s="185" t="s">
        <v>142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523</v>
      </c>
      <c r="D59" s="188"/>
      <c r="E59" s="156" t="str">
        <f>E24</f>
        <v>Klettwitz</v>
      </c>
      <c r="F59" s="156" t="str">
        <f t="shared" ref="F59:N59" si="8">F24</f>
        <v>DEF-St.</v>
      </c>
      <c r="G59" s="156">
        <f t="shared" si="8"/>
        <v>0</v>
      </c>
      <c r="H59" s="156">
        <f t="shared" si="8"/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85" t="s">
        <v>524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517</v>
      </c>
      <c r="D60" s="188"/>
      <c r="E60" s="160">
        <f>E25</f>
        <v>2627</v>
      </c>
      <c r="F60" s="160" t="str">
        <f t="shared" ref="F60:N60" si="9">F25</f>
        <v>xxxxx</v>
      </c>
      <c r="G60" s="160">
        <f t="shared" si="9"/>
        <v>0</v>
      </c>
      <c r="H60" s="160">
        <f t="shared" si="9"/>
        <v>0</v>
      </c>
      <c r="I60" s="160">
        <f t="shared" si="9"/>
        <v>0</v>
      </c>
      <c r="J60" s="160">
        <f t="shared" si="9"/>
        <v>0</v>
      </c>
      <c r="K60" s="160">
        <f t="shared" si="9"/>
        <v>0</v>
      </c>
      <c r="L60" s="160">
        <f t="shared" si="9"/>
        <v>0</v>
      </c>
      <c r="M60" s="160">
        <f t="shared" si="9"/>
        <v>0</v>
      </c>
      <c r="N60" s="160">
        <f t="shared" si="9"/>
        <v>0</v>
      </c>
      <c r="O60" s="185" t="s">
        <v>143</v>
      </c>
      <c r="W60" s="67"/>
      <c r="X60" s="67"/>
      <c r="Y60" s="67"/>
      <c r="Z60" s="67"/>
      <c r="AA60" s="67"/>
      <c r="AB60" s="67"/>
    </row>
    <row r="61" spans="2:28">
      <c r="B61" s="183"/>
      <c r="C61" s="187" t="s">
        <v>141</v>
      </c>
      <c r="D61" s="188"/>
      <c r="E61" s="158" t="str">
        <f>E26</f>
        <v>Allgemeine GPT</v>
      </c>
      <c r="F61" s="158" t="str">
        <f t="shared" ref="F61:N61" si="10">F26</f>
        <v>Temp. (2m)</v>
      </c>
      <c r="G61" s="158" t="str">
        <f t="shared" si="10"/>
        <v>Temp. (2m)</v>
      </c>
      <c r="H61" s="158" t="str">
        <f t="shared" si="10"/>
        <v>Temp. (2m)</v>
      </c>
      <c r="I61" s="158" t="str">
        <f t="shared" si="10"/>
        <v>Temp. (2m)</v>
      </c>
      <c r="J61" s="158" t="str">
        <f t="shared" si="10"/>
        <v>Temp. (2m)</v>
      </c>
      <c r="K61" s="158" t="str">
        <f t="shared" si="10"/>
        <v>Temp. (2m)</v>
      </c>
      <c r="L61" s="158" t="str">
        <f t="shared" si="10"/>
        <v>Temp. (2m)</v>
      </c>
      <c r="M61" s="158" t="str">
        <f t="shared" si="10"/>
        <v>Temp. (2m)</v>
      </c>
      <c r="N61" s="158" t="str">
        <f t="shared" si="10"/>
        <v>Temp. (2m)</v>
      </c>
      <c r="O61" s="185" t="s">
        <v>142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522</v>
      </c>
      <c r="D63" s="130"/>
      <c r="E63" s="130"/>
      <c r="F63" s="157">
        <f>F29</f>
        <v>1</v>
      </c>
    </row>
    <row r="64" spans="2:28" ht="15" customHeight="1">
      <c r="E64" s="178">
        <f>IF(E65&gt;$F$63,0,1)</f>
        <v>1</v>
      </c>
      <c r="F64" s="178">
        <f t="shared" ref="F64:N64" si="11">IF(F65&gt;$F$63,0,1)</f>
        <v>0</v>
      </c>
      <c r="G64" s="178">
        <f t="shared" si="11"/>
        <v>0</v>
      </c>
      <c r="H64" s="178">
        <f t="shared" si="11"/>
        <v>0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0"/>
      <c r="C65" s="179" t="s">
        <v>140</v>
      </c>
      <c r="D65" s="180" t="s">
        <v>257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144</v>
      </c>
    </row>
    <row r="66" spans="2:15">
      <c r="B66" s="183"/>
      <c r="C66" s="184" t="s">
        <v>529</v>
      </c>
      <c r="D66" s="186" t="s">
        <v>256</v>
      </c>
      <c r="E66" s="287">
        <f>1-SUMPRODUCT(F64:N64,F66:N66)</f>
        <v>1</v>
      </c>
      <c r="F66" s="287">
        <f>ROUND(F67/$D$67,4)</f>
        <v>0.5</v>
      </c>
      <c r="G66" s="287">
        <f t="shared" ref="G66:N66" si="12">ROUND(G67/$D$67,4)</f>
        <v>0.25</v>
      </c>
      <c r="H66" s="287">
        <f t="shared" si="12"/>
        <v>0.125</v>
      </c>
      <c r="I66" s="287">
        <f t="shared" si="12"/>
        <v>0</v>
      </c>
      <c r="J66" s="287">
        <f t="shared" si="12"/>
        <v>0</v>
      </c>
      <c r="K66" s="287">
        <f t="shared" si="12"/>
        <v>0</v>
      </c>
      <c r="L66" s="287">
        <f t="shared" si="12"/>
        <v>0</v>
      </c>
      <c r="M66" s="287">
        <f t="shared" si="12"/>
        <v>0</v>
      </c>
      <c r="N66" s="287">
        <f t="shared" si="12"/>
        <v>0</v>
      </c>
      <c r="O66" s="185"/>
    </row>
    <row r="67" spans="2:15">
      <c r="B67" s="183"/>
      <c r="C67" s="184" t="s">
        <v>536</v>
      </c>
      <c r="D67" s="186">
        <f>SUMPRODUCT(E67:N67,E64:N64)</f>
        <v>1</v>
      </c>
      <c r="E67" s="295">
        <f>E33</f>
        <v>1</v>
      </c>
      <c r="F67" s="295">
        <f t="shared" ref="F67:N67" si="13">F33</f>
        <v>0.5</v>
      </c>
      <c r="G67" s="295">
        <f t="shared" si="13"/>
        <v>0.25</v>
      </c>
      <c r="H67" s="295">
        <f t="shared" si="13"/>
        <v>0.125</v>
      </c>
      <c r="I67" s="295">
        <f t="shared" si="13"/>
        <v>0</v>
      </c>
      <c r="J67" s="295">
        <f t="shared" si="13"/>
        <v>0</v>
      </c>
      <c r="K67" s="295">
        <f t="shared" si="13"/>
        <v>0</v>
      </c>
      <c r="L67" s="295">
        <f t="shared" si="13"/>
        <v>0</v>
      </c>
      <c r="M67" s="295">
        <f t="shared" si="13"/>
        <v>0</v>
      </c>
      <c r="N67" s="295">
        <f t="shared" si="13"/>
        <v>0</v>
      </c>
      <c r="O67" s="185" t="s">
        <v>145</v>
      </c>
    </row>
    <row r="68" spans="2:15">
      <c r="B68" s="183"/>
      <c r="C68" s="187" t="s">
        <v>360</v>
      </c>
      <c r="D68" s="153" t="s">
        <v>359</v>
      </c>
      <c r="E68" s="156" t="str">
        <f>E34</f>
        <v>D</v>
      </c>
      <c r="F68" s="156" t="str">
        <f t="shared" ref="F68:N68" si="14">F34</f>
        <v>D-1</v>
      </c>
      <c r="G68" s="156" t="str">
        <f t="shared" si="14"/>
        <v>D-2</v>
      </c>
      <c r="H68" s="156" t="str">
        <f t="shared" si="14"/>
        <v>D-3</v>
      </c>
      <c r="I68" s="156">
        <f t="shared" si="14"/>
        <v>0</v>
      </c>
      <c r="J68" s="156">
        <f t="shared" si="14"/>
        <v>0</v>
      </c>
      <c r="K68" s="156">
        <f t="shared" si="14"/>
        <v>0</v>
      </c>
      <c r="L68" s="156">
        <f t="shared" si="14"/>
        <v>0</v>
      </c>
      <c r="M68" s="156">
        <f t="shared" si="14"/>
        <v>0</v>
      </c>
      <c r="N68" s="156">
        <f t="shared" si="14"/>
        <v>0</v>
      </c>
      <c r="O68" s="185" t="s">
        <v>142</v>
      </c>
    </row>
    <row r="69" spans="2:15">
      <c r="B69" s="183"/>
      <c r="C69" s="187" t="s">
        <v>449</v>
      </c>
      <c r="D69" s="153" t="s">
        <v>448</v>
      </c>
      <c r="E69" s="159" t="str">
        <f>E35</f>
        <v>Gastag</v>
      </c>
      <c r="F69" s="159" t="str">
        <f t="shared" ref="F69:N69" si="15">F35</f>
        <v>Gastag</v>
      </c>
      <c r="G69" s="159" t="str">
        <f t="shared" si="15"/>
        <v>Gastag</v>
      </c>
      <c r="H69" s="159" t="str">
        <f t="shared" si="15"/>
        <v>Gastag</v>
      </c>
      <c r="I69" s="162">
        <f t="shared" si="15"/>
        <v>0</v>
      </c>
      <c r="J69" s="162">
        <f t="shared" si="15"/>
        <v>0</v>
      </c>
      <c r="K69" s="162">
        <f t="shared" si="15"/>
        <v>0</v>
      </c>
      <c r="L69" s="162">
        <f t="shared" si="15"/>
        <v>0</v>
      </c>
      <c r="M69" s="162">
        <f t="shared" si="15"/>
        <v>0</v>
      </c>
      <c r="N69" s="162">
        <f t="shared" si="15"/>
        <v>0</v>
      </c>
      <c r="O69" s="185" t="s">
        <v>142</v>
      </c>
    </row>
    <row r="70" spans="2:15">
      <c r="B70" s="183"/>
      <c r="C70" s="187" t="s">
        <v>608</v>
      </c>
      <c r="D70" s="153" t="s">
        <v>609</v>
      </c>
      <c r="E70" s="159" t="str">
        <f>E36</f>
        <v>CET/CEST</v>
      </c>
      <c r="F70" s="159" t="str">
        <f t="shared" ref="F70:N70" si="16">F36</f>
        <v>CET/CEST</v>
      </c>
      <c r="G70" s="159" t="str">
        <f t="shared" si="16"/>
        <v>CET/CEST</v>
      </c>
      <c r="H70" s="159" t="str">
        <f t="shared" si="16"/>
        <v>CET/CEST</v>
      </c>
      <c r="I70" s="162" t="str">
        <f t="shared" si="16"/>
        <v>CET/CEST</v>
      </c>
      <c r="J70" s="162" t="str">
        <f t="shared" si="16"/>
        <v>CET/CEST</v>
      </c>
      <c r="K70" s="162" t="str">
        <f t="shared" si="16"/>
        <v>CET/CEST</v>
      </c>
      <c r="L70" s="162" t="str">
        <f t="shared" si="16"/>
        <v>CET/CEST</v>
      </c>
      <c r="M70" s="162" t="str">
        <f t="shared" si="16"/>
        <v>CET/CEST</v>
      </c>
      <c r="N70" s="162" t="str">
        <f t="shared" si="16"/>
        <v>CET/CEST</v>
      </c>
      <c r="O70" s="185" t="s">
        <v>142</v>
      </c>
    </row>
    <row r="71" spans="2:15">
      <c r="B71" s="183"/>
      <c r="C71" s="192" t="s">
        <v>441</v>
      </c>
      <c r="D71" s="119" t="s">
        <v>541</v>
      </c>
      <c r="E71" s="163" t="s">
        <v>451</v>
      </c>
      <c r="F71" s="163" t="s">
        <v>451</v>
      </c>
      <c r="G71" s="163" t="str">
        <f t="shared" ref="G71:N71" si="17">G37</f>
        <v>Temp.-IST</v>
      </c>
      <c r="H71" s="163" t="str">
        <f t="shared" si="17"/>
        <v>Temp.-IST</v>
      </c>
      <c r="I71" s="163">
        <f t="shared" si="17"/>
        <v>0</v>
      </c>
      <c r="J71" s="163">
        <f t="shared" si="17"/>
        <v>0</v>
      </c>
      <c r="K71" s="163">
        <f t="shared" si="17"/>
        <v>0</v>
      </c>
      <c r="L71" s="163">
        <f t="shared" si="17"/>
        <v>0</v>
      </c>
      <c r="M71" s="163">
        <f t="shared" si="17"/>
        <v>0</v>
      </c>
      <c r="N71" s="163">
        <f t="shared" si="17"/>
        <v>0</v>
      </c>
      <c r="O71" s="185" t="s">
        <v>142</v>
      </c>
    </row>
    <row r="72" spans="2:15"/>
    <row r="73" spans="2:15" ht="15.75" customHeight="1">
      <c r="C73" s="353" t="s">
        <v>583</v>
      </c>
      <c r="D73" s="353"/>
      <c r="E73" s="353"/>
      <c r="F73" s="353"/>
    </row>
    <row r="74" spans="2:15"/>
    <row r="75" spans="2:15" hidden="1"/>
    <row r="76" spans="2:15" hidden="1"/>
    <row r="77" spans="2:15" hidden="1"/>
    <row r="78" spans="2:15" hidden="1"/>
    <row r="79" spans="2:15"/>
  </sheetData>
  <mergeCells count="4">
    <mergeCell ref="C13:E13"/>
    <mergeCell ref="C14:D14"/>
    <mergeCell ref="C15:D15"/>
    <mergeCell ref="C73:F73"/>
  </mergeCells>
  <conditionalFormatting sqref="E22:N25">
    <cfRule type="expression" dxfId="46" priority="28">
      <formula>IF(E$20&lt;=$F$18,1,0)</formula>
    </cfRule>
  </conditionalFormatting>
  <conditionalFormatting sqref="E33:N37">
    <cfRule type="expression" dxfId="45" priority="27">
      <formula>IF(E$31&lt;=$F$29,1,0)</formula>
    </cfRule>
  </conditionalFormatting>
  <conditionalFormatting sqref="E26:N26">
    <cfRule type="expression" dxfId="44" priority="26">
      <formula>IF(E$20&lt;=$F$18,1,0)</formula>
    </cfRule>
  </conditionalFormatting>
  <conditionalFormatting sqref="E26:N26">
    <cfRule type="expression" dxfId="43" priority="25">
      <formula>IF(E$20&lt;=$F$18,1,0)</formula>
    </cfRule>
  </conditionalFormatting>
  <conditionalFormatting sqref="E57:N60">
    <cfRule type="expression" dxfId="42" priority="22">
      <formula>IF(E$55&lt;=$F$53,1,0)</formula>
    </cfRule>
  </conditionalFormatting>
  <conditionalFormatting sqref="E61:N61">
    <cfRule type="expression" dxfId="41" priority="21">
      <formula>IF(E$55&lt;=$F$53,1,0)</formula>
    </cfRule>
  </conditionalFormatting>
  <conditionalFormatting sqref="E67:N69">
    <cfRule type="expression" dxfId="40" priority="15">
      <formula>IF(E$65&lt;=$F$63,1,0)</formula>
    </cfRule>
  </conditionalFormatting>
  <conditionalFormatting sqref="E66:N69 E71:N71">
    <cfRule type="expression" dxfId="39" priority="13">
      <formula>IF(E$65&gt;$F$63,1,0)</formula>
    </cfRule>
  </conditionalFormatting>
  <conditionalFormatting sqref="E57:N61">
    <cfRule type="expression" dxfId="38" priority="12">
      <formula>IF(E$55&gt;$F$53,1,0)</formula>
    </cfRule>
  </conditionalFormatting>
  <conditionalFormatting sqref="E21:N26">
    <cfRule type="expression" dxfId="37" priority="11">
      <formula>IF(E$20&gt;$F$18,1,0)</formula>
    </cfRule>
  </conditionalFormatting>
  <conditionalFormatting sqref="E33:N37">
    <cfRule type="expression" dxfId="36" priority="10">
      <formula>IF(E$31&gt;$F$29,1,0)</formula>
    </cfRule>
  </conditionalFormatting>
  <conditionalFormatting sqref="H11 H8:H9">
    <cfRule type="expression" dxfId="35" priority="9">
      <formula>IF($F$9=1,1,0)</formula>
    </cfRule>
  </conditionalFormatting>
  <conditionalFormatting sqref="E56:N56">
    <cfRule type="expression" dxfId="34" priority="8">
      <formula>IF(E$55&gt;$F$53,1,0)</formula>
    </cfRule>
  </conditionalFormatting>
  <conditionalFormatting sqref="E32:N32">
    <cfRule type="expression" dxfId="33" priority="7">
      <formula>IF(E$31&gt;$F$29,1,0)</formula>
    </cfRule>
  </conditionalFormatting>
  <conditionalFormatting sqref="E71:N71">
    <cfRule type="expression" dxfId="32" priority="6">
      <formula>IF(E$65&lt;=$F$63,1,0)</formula>
    </cfRule>
  </conditionalFormatting>
  <conditionalFormatting sqref="H10">
    <cfRule type="expression" dxfId="31" priority="5">
      <formula>IF($F$9=1,1,0)</formula>
    </cfRule>
  </conditionalFormatting>
  <conditionalFormatting sqref="E70:N70">
    <cfRule type="expression" dxfId="30" priority="2">
      <formula>IF(E$65&lt;=$F$63,1,0)</formula>
    </cfRule>
  </conditionalFormatting>
  <conditionalFormatting sqref="E70:N70">
    <cfRule type="expression" dxfId="29" priority="1">
      <formula>IF(E$65&gt;$F$63,1,0)</formula>
    </cfRule>
  </conditionalFormatting>
  <dataValidations count="14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7:N37 E71:N71">
      <formula1>$R$37:$S$37</formula1>
    </dataValidation>
    <dataValidation type="list" allowBlank="1" showInputMessage="1" showErrorMessage="1" errorTitle="Prognosezeitraum" error="Werte zwischen 0 - 240h" sqref="E34:N34 E68:N68">
      <formula1>$R$34:$AB$34</formula1>
    </dataValidation>
    <dataValidation type="list" allowBlank="1" showInputMessage="1" showErrorMessage="1" sqref="E35:N35 E69:N69">
      <formula1>$R$35:$S$35</formula1>
    </dataValidation>
    <dataValidation type="list" allowBlank="1" showInputMessage="1" showErrorMessage="1" sqref="E23:N23 E58:N58">
      <formula1>$R$23:$T$23</formula1>
    </dataValidation>
    <dataValidation type="list" allowBlank="1" showInputMessage="1" showErrorMessage="1" sqref="F53">
      <formula1>$E$55:$N$55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9">
      <formula1>$E$31:$N$31</formula1>
    </dataValidation>
    <dataValidation type="list" allowBlank="1" showInputMessage="1" showErrorMessage="1" sqref="F63">
      <formula1>$E$65:$N$65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">
      <formula1>$R$26:$U$26</formula1>
    </dataValidation>
    <dataValidation type="list" allowBlank="1" showInputMessage="1" showErrorMessage="1" sqref="E61:N61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71" t="s">
        <v>547</v>
      </c>
    </row>
    <row r="3" spans="1:56" ht="15" customHeight="1">
      <c r="B3" s="171"/>
    </row>
    <row r="4" spans="1:56">
      <c r="B4" s="130"/>
      <c r="C4" s="55" t="s">
        <v>443</v>
      </c>
      <c r="D4" s="56"/>
      <c r="E4" s="57" t="s">
        <v>485</v>
      </c>
      <c r="F4" s="130"/>
      <c r="M4" s="130"/>
      <c r="N4" s="130"/>
      <c r="O4" s="130"/>
    </row>
    <row r="5" spans="1:56">
      <c r="B5" s="130"/>
      <c r="C5" s="55" t="s">
        <v>442</v>
      </c>
      <c r="D5" s="56"/>
      <c r="E5" s="57" t="str">
        <f>Netzbetreiber!D28</f>
        <v>Netzgebiet der SW Senftenberg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486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133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497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525</v>
      </c>
      <c r="D9" s="130"/>
      <c r="E9" s="130"/>
      <c r="F9" s="154">
        <f>'SLP-Verfahren'!D43</f>
        <v>1</v>
      </c>
      <c r="H9" s="172" t="s">
        <v>604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588</v>
      </c>
      <c r="D10" s="130"/>
      <c r="E10" s="130"/>
      <c r="F10" s="299">
        <v>2</v>
      </c>
      <c r="G10" s="56"/>
      <c r="H10" s="172" t="s">
        <v>605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606</v>
      </c>
      <c r="D11" s="130"/>
      <c r="E11" s="130"/>
      <c r="F11" s="296">
        <f>INDEX('SLP-Verfahren'!D45:D59,'SLP-Temp-Gebiet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1" t="s">
        <v>587</v>
      </c>
      <c r="D13" s="351"/>
      <c r="E13" s="351"/>
      <c r="F13" s="183" t="s">
        <v>551</v>
      </c>
      <c r="G13" s="130" t="s">
        <v>549</v>
      </c>
      <c r="H13" s="265" t="s">
        <v>566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2" t="s">
        <v>446</v>
      </c>
      <c r="D14" s="352"/>
      <c r="E14" s="89" t="s">
        <v>447</v>
      </c>
      <c r="F14" s="266" t="s">
        <v>85</v>
      </c>
      <c r="G14" s="267" t="s">
        <v>575</v>
      </c>
      <c r="H14" s="50">
        <v>0</v>
      </c>
      <c r="I14" s="56"/>
      <c r="J14" s="130"/>
      <c r="K14" s="130"/>
      <c r="L14" s="130"/>
      <c r="M14" s="130"/>
      <c r="N14" s="130"/>
      <c r="O14" s="173" t="s">
        <v>530</v>
      </c>
      <c r="R14" s="209" t="s">
        <v>567</v>
      </c>
      <c r="S14" s="209" t="s">
        <v>568</v>
      </c>
      <c r="T14" s="209" t="s">
        <v>569</v>
      </c>
      <c r="U14" s="209" t="s">
        <v>570</v>
      </c>
      <c r="V14" s="209" t="s">
        <v>550</v>
      </c>
      <c r="W14" s="209" t="s">
        <v>571</v>
      </c>
      <c r="X14" s="209" t="s">
        <v>572</v>
      </c>
      <c r="Y14" s="209" t="s">
        <v>573</v>
      </c>
      <c r="Z14" s="209" t="s">
        <v>574</v>
      </c>
      <c r="AA14" s="209" t="s">
        <v>575</v>
      </c>
      <c r="AB14" s="209" t="s">
        <v>576</v>
      </c>
      <c r="AC14" s="209" t="s">
        <v>577</v>
      </c>
    </row>
    <row r="15" spans="1:56" ht="19.5" customHeight="1">
      <c r="B15" s="130"/>
      <c r="C15" s="352" t="s">
        <v>386</v>
      </c>
      <c r="D15" s="352"/>
      <c r="E15" s="89" t="s">
        <v>447</v>
      </c>
      <c r="F15" s="266" t="s">
        <v>71</v>
      </c>
      <c r="G15" s="267" t="s">
        <v>569</v>
      </c>
      <c r="H15" s="50">
        <v>0</v>
      </c>
      <c r="I15" s="56"/>
      <c r="J15" s="130"/>
      <c r="K15" s="130"/>
      <c r="L15" s="130"/>
      <c r="M15" s="130"/>
      <c r="N15" s="130"/>
      <c r="O15" s="161" t="s">
        <v>531</v>
      </c>
      <c r="R15" s="264" t="s">
        <v>71</v>
      </c>
      <c r="S15" s="264" t="s">
        <v>72</v>
      </c>
      <c r="T15" s="264" t="s">
        <v>73</v>
      </c>
      <c r="U15" s="264" t="s">
        <v>74</v>
      </c>
      <c r="V15" s="264" t="s">
        <v>75</v>
      </c>
      <c r="W15" s="264" t="s">
        <v>76</v>
      </c>
      <c r="X15" s="264" t="s">
        <v>77</v>
      </c>
      <c r="Y15" s="264" t="s">
        <v>78</v>
      </c>
      <c r="Z15" s="264" t="s">
        <v>79</v>
      </c>
      <c r="AA15" s="264" t="s">
        <v>80</v>
      </c>
      <c r="AB15" s="264" t="s">
        <v>81</v>
      </c>
      <c r="AC15" s="264" t="s">
        <v>82</v>
      </c>
      <c r="AD15" s="264" t="s">
        <v>83</v>
      </c>
      <c r="AE15" s="264" t="s">
        <v>84</v>
      </c>
      <c r="AF15" s="264" t="s">
        <v>85</v>
      </c>
      <c r="AG15" s="264" t="s">
        <v>369</v>
      </c>
      <c r="AH15" s="264" t="s">
        <v>492</v>
      </c>
      <c r="AI15" s="264" t="s">
        <v>552</v>
      </c>
      <c r="AJ15" s="264" t="s">
        <v>553</v>
      </c>
      <c r="AK15" s="264" t="s">
        <v>554</v>
      </c>
      <c r="AL15" s="264" t="s">
        <v>555</v>
      </c>
      <c r="AM15" s="264" t="s">
        <v>556</v>
      </c>
      <c r="AN15" s="264" t="s">
        <v>557</v>
      </c>
      <c r="AO15" s="264" t="s">
        <v>558</v>
      </c>
      <c r="AP15" s="264" t="s">
        <v>559</v>
      </c>
      <c r="AQ15" s="264" t="s">
        <v>560</v>
      </c>
      <c r="AR15" s="264" t="s">
        <v>561</v>
      </c>
      <c r="AS15" s="264" t="s">
        <v>562</v>
      </c>
      <c r="AT15" s="264" t="s">
        <v>563</v>
      </c>
      <c r="AU15" s="264" t="s">
        <v>564</v>
      </c>
      <c r="AV15" s="264" t="s">
        <v>565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520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526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521</v>
      </c>
      <c r="D20" s="180" t="s">
        <v>516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528</v>
      </c>
      <c r="D21" s="153" t="s">
        <v>518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540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145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137</v>
      </c>
      <c r="D23" s="188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5" t="s">
        <v>142</v>
      </c>
      <c r="Q23" s="211"/>
      <c r="R23" s="67" t="s">
        <v>139</v>
      </c>
      <c r="S23" s="67" t="s">
        <v>504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523</v>
      </c>
      <c r="D24" s="188"/>
      <c r="E24" s="156" t="s">
        <v>584</v>
      </c>
      <c r="F24" s="156" t="s">
        <v>585</v>
      </c>
      <c r="G24" s="156"/>
      <c r="H24" s="156"/>
      <c r="I24" s="156"/>
      <c r="J24" s="156"/>
      <c r="K24" s="156"/>
      <c r="L24" s="156"/>
      <c r="M24" s="156"/>
      <c r="N24" s="156"/>
      <c r="O24" s="185" t="s">
        <v>524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517</v>
      </c>
      <c r="D25" s="188"/>
      <c r="E25" s="160" t="s">
        <v>362</v>
      </c>
      <c r="F25" s="160" t="s">
        <v>362</v>
      </c>
      <c r="G25" s="160"/>
      <c r="H25" s="160"/>
      <c r="I25" s="160"/>
      <c r="J25" s="160"/>
      <c r="K25" s="160"/>
      <c r="L25" s="160"/>
      <c r="M25" s="160"/>
      <c r="N25" s="160"/>
      <c r="O25" s="185" t="s">
        <v>143</v>
      </c>
      <c r="Q25" s="211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141</v>
      </c>
      <c r="D26" s="188"/>
      <c r="E26" s="156" t="s">
        <v>505</v>
      </c>
      <c r="F26" s="156" t="s">
        <v>505</v>
      </c>
      <c r="G26" s="156"/>
      <c r="H26" s="156"/>
      <c r="I26" s="156"/>
      <c r="J26" s="156"/>
      <c r="K26" s="156"/>
      <c r="L26" s="156"/>
      <c r="M26" s="156"/>
      <c r="N26" s="156"/>
      <c r="O26" s="185" t="s">
        <v>142</v>
      </c>
      <c r="Q26" s="211"/>
      <c r="R26" s="67" t="s">
        <v>505</v>
      </c>
      <c r="S26" s="67" t="s">
        <v>506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522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140</v>
      </c>
      <c r="D30" s="180" t="s">
        <v>257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144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529</v>
      </c>
      <c r="D31" s="186" t="s">
        <v>256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536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145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360</v>
      </c>
      <c r="D33" s="153" t="s">
        <v>359</v>
      </c>
      <c r="E33" s="156" t="s">
        <v>3</v>
      </c>
      <c r="F33" s="156" t="s">
        <v>358</v>
      </c>
      <c r="G33" s="156" t="s">
        <v>349</v>
      </c>
      <c r="H33" s="156" t="s">
        <v>350</v>
      </c>
      <c r="I33" s="156"/>
      <c r="J33" s="156"/>
      <c r="K33" s="156"/>
      <c r="L33" s="156"/>
      <c r="M33" s="156"/>
      <c r="N33" s="156"/>
      <c r="O33" s="185" t="s">
        <v>142</v>
      </c>
      <c r="Q33" s="211"/>
      <c r="R33" s="67" t="s">
        <v>3</v>
      </c>
      <c r="S33" s="67" t="s">
        <v>358</v>
      </c>
      <c r="T33" s="67" t="s">
        <v>349</v>
      </c>
      <c r="U33" s="67" t="s">
        <v>350</v>
      </c>
      <c r="V33" s="67" t="s">
        <v>351</v>
      </c>
      <c r="W33" s="67" t="s">
        <v>352</v>
      </c>
      <c r="X33" s="67" t="s">
        <v>353</v>
      </c>
      <c r="Y33" s="67" t="s">
        <v>354</v>
      </c>
      <c r="Z33" s="67" t="s">
        <v>355</v>
      </c>
      <c r="AA33" s="67" t="s">
        <v>356</v>
      </c>
      <c r="AB33" s="67" t="s">
        <v>357</v>
      </c>
    </row>
    <row r="34" spans="2:28">
      <c r="B34" s="183"/>
      <c r="C34" s="187" t="s">
        <v>449</v>
      </c>
      <c r="D34" s="153" t="s">
        <v>448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5" t="s">
        <v>142</v>
      </c>
      <c r="Q34" s="211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608</v>
      </c>
      <c r="D35" s="153" t="s">
        <v>609</v>
      </c>
      <c r="E35" s="156" t="s">
        <v>607</v>
      </c>
      <c r="F35" s="156" t="s">
        <v>607</v>
      </c>
      <c r="G35" s="156" t="s">
        <v>607</v>
      </c>
      <c r="H35" s="156" t="s">
        <v>607</v>
      </c>
      <c r="I35" s="156" t="s">
        <v>607</v>
      </c>
      <c r="J35" s="156" t="s">
        <v>607</v>
      </c>
      <c r="K35" s="156" t="s">
        <v>607</v>
      </c>
      <c r="L35" s="156" t="s">
        <v>607</v>
      </c>
      <c r="M35" s="156" t="s">
        <v>607</v>
      </c>
      <c r="N35" s="156" t="s">
        <v>607</v>
      </c>
      <c r="O35" s="185" t="s">
        <v>142</v>
      </c>
      <c r="Q35" s="211"/>
      <c r="R35" s="67" t="s">
        <v>607</v>
      </c>
      <c r="S35" s="67" t="s">
        <v>610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441</v>
      </c>
      <c r="D36" s="119" t="s">
        <v>541</v>
      </c>
      <c r="E36" s="162" t="s">
        <v>450</v>
      </c>
      <c r="F36" s="162" t="s">
        <v>450</v>
      </c>
      <c r="G36" s="162" t="s">
        <v>451</v>
      </c>
      <c r="H36" s="162" t="s">
        <v>451</v>
      </c>
      <c r="I36" s="162"/>
      <c r="J36" s="162"/>
      <c r="K36" s="162"/>
      <c r="L36" s="162"/>
      <c r="M36" s="162"/>
      <c r="N36" s="162"/>
      <c r="O36" s="185" t="s">
        <v>142</v>
      </c>
      <c r="Q36" s="211"/>
      <c r="R36" s="67" t="s">
        <v>451</v>
      </c>
      <c r="S36" s="67" t="s">
        <v>450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268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348</v>
      </c>
      <c r="D39" s="198"/>
      <c r="E39" s="198" t="s">
        <v>534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535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527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532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533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538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539</v>
      </c>
      <c r="D46" s="201" t="s">
        <v>537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361</v>
      </c>
      <c r="K46" s="198"/>
      <c r="L46" s="198"/>
      <c r="M46" s="198"/>
      <c r="N46" s="198"/>
      <c r="O46" s="199"/>
    </row>
    <row r="47" spans="2:28">
      <c r="B47" s="193"/>
      <c r="C47" s="200" t="s">
        <v>347</v>
      </c>
      <c r="D47" s="201" t="s">
        <v>537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361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582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546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521</v>
      </c>
      <c r="D54" s="180" t="s">
        <v>516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144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528</v>
      </c>
      <c r="D55" s="153" t="s">
        <v>518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540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145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137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142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523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524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517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143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141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522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140</v>
      </c>
      <c r="D64" s="180" t="s">
        <v>257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144</v>
      </c>
    </row>
    <row r="65" spans="2:15">
      <c r="B65" s="183"/>
      <c r="C65" s="184" t="s">
        <v>529</v>
      </c>
      <c r="D65" s="186" t="s">
        <v>256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536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145</v>
      </c>
    </row>
    <row r="67" spans="2:15">
      <c r="B67" s="183"/>
      <c r="C67" s="187" t="s">
        <v>360</v>
      </c>
      <c r="D67" s="153" t="s">
        <v>359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142</v>
      </c>
    </row>
    <row r="68" spans="2:15">
      <c r="B68" s="183"/>
      <c r="C68" s="187" t="s">
        <v>449</v>
      </c>
      <c r="D68" s="153" t="s">
        <v>448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142</v>
      </c>
    </row>
    <row r="69" spans="2:15">
      <c r="B69" s="183"/>
      <c r="C69" s="187" t="s">
        <v>608</v>
      </c>
      <c r="D69" s="153" t="s">
        <v>609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142</v>
      </c>
    </row>
    <row r="70" spans="2:15">
      <c r="B70" s="183"/>
      <c r="C70" s="192" t="s">
        <v>441</v>
      </c>
      <c r="D70" s="119" t="s">
        <v>541</v>
      </c>
      <c r="E70" s="163" t="s">
        <v>451</v>
      </c>
      <c r="F70" s="163" t="s">
        <v>451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142</v>
      </c>
    </row>
    <row r="71" spans="2:15"/>
    <row r="72" spans="2:15" ht="15.75" customHeight="1">
      <c r="C72" s="353" t="s">
        <v>583</v>
      </c>
      <c r="D72" s="353"/>
      <c r="E72" s="353"/>
      <c r="F72" s="353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28" priority="18">
      <formula>IF(E$20&lt;=$F$18,1,0)</formula>
    </cfRule>
  </conditionalFormatting>
  <conditionalFormatting sqref="E32:N36">
    <cfRule type="expression" dxfId="27" priority="17">
      <formula>IF(E$30&lt;=$F$28,1,0)</formula>
    </cfRule>
  </conditionalFormatting>
  <conditionalFormatting sqref="E26:F26">
    <cfRule type="expression" dxfId="26" priority="16">
      <formula>IF(E$20&lt;=$F$18,1,0)</formula>
    </cfRule>
  </conditionalFormatting>
  <conditionalFormatting sqref="E26:N26">
    <cfRule type="expression" dxfId="25" priority="15">
      <formula>IF(E$20&lt;=$F$18,1,0)</formula>
    </cfRule>
  </conditionalFormatting>
  <conditionalFormatting sqref="E56:N59">
    <cfRule type="expression" dxfId="24" priority="14">
      <formula>IF(E$54&lt;=$F$52,1,0)</formula>
    </cfRule>
  </conditionalFormatting>
  <conditionalFormatting sqref="E60:N60">
    <cfRule type="expression" dxfId="23" priority="13">
      <formula>IF(E$54&lt;=$F$52,1,0)</formula>
    </cfRule>
  </conditionalFormatting>
  <conditionalFormatting sqref="E66:N68">
    <cfRule type="expression" dxfId="22" priority="12">
      <formula>IF(E$64&lt;=$F$62,1,0)</formula>
    </cfRule>
  </conditionalFormatting>
  <conditionalFormatting sqref="E65:N68 E70:N70">
    <cfRule type="expression" dxfId="21" priority="11">
      <formula>IF(E$64&gt;$F$62,1,0)</formula>
    </cfRule>
  </conditionalFormatting>
  <conditionalFormatting sqref="E56:N60">
    <cfRule type="expression" dxfId="20" priority="10">
      <formula>IF(E$54&gt;$F$52,1,0)</formula>
    </cfRule>
  </conditionalFormatting>
  <conditionalFormatting sqref="E21:N26">
    <cfRule type="expression" dxfId="19" priority="9">
      <formula>IF(E$20&gt;$F$18,1,0)</formula>
    </cfRule>
  </conditionalFormatting>
  <conditionalFormatting sqref="E32:N36">
    <cfRule type="expression" dxfId="18" priority="8">
      <formula>IF(E$30&gt;$F$28,1,0)</formula>
    </cfRule>
  </conditionalFormatting>
  <conditionalFormatting sqref="H11 H8:H9">
    <cfRule type="expression" dxfId="17" priority="7">
      <formula>IF($F$9=1,1,0)</formula>
    </cfRule>
  </conditionalFormatting>
  <conditionalFormatting sqref="E55:N55">
    <cfRule type="expression" dxfId="16" priority="6">
      <formula>IF(E$54&gt;$F$52,1,0)</formula>
    </cfRule>
  </conditionalFormatting>
  <conditionalFormatting sqref="E31:N31">
    <cfRule type="expression" dxfId="15" priority="5">
      <formula>IF(E$30&gt;$F$28,1,0)</formula>
    </cfRule>
  </conditionalFormatting>
  <conditionalFormatting sqref="E70:N70">
    <cfRule type="expression" dxfId="14" priority="4">
      <formula>IF(E$64&lt;=$F$62,1,0)</formula>
    </cfRule>
  </conditionalFormatting>
  <conditionalFormatting sqref="H10">
    <cfRule type="expression" dxfId="13" priority="3">
      <formula>IF($F$9=1,1,0)</formula>
    </cfRule>
  </conditionalFormatting>
  <conditionalFormatting sqref="E69:N69">
    <cfRule type="expression" dxfId="12" priority="2">
      <formula>IF(E$64&lt;=$F$62,1,0)</formula>
    </cfRule>
  </conditionalFormatting>
  <conditionalFormatting sqref="E69:N69">
    <cfRule type="expression" dxfId="11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topLeftCell="D1" zoomScale="80" zoomScaleNormal="80" workbookViewId="0">
      <selection activeCell="F13" sqref="F13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363</v>
      </c>
    </row>
    <row r="3" spans="2:26">
      <c r="B3" s="130" t="s">
        <v>464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368</v>
      </c>
      <c r="D5" s="53" t="str">
        <f>Netzbetreiber!$D$9</f>
        <v>Stadtwerke Senftenberg GmbH</v>
      </c>
      <c r="E5" s="130"/>
      <c r="H5" s="88" t="s">
        <v>497</v>
      </c>
      <c r="I5" s="131" t="s">
        <v>500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335</v>
      </c>
      <c r="D6" s="53" t="str">
        <f>Netzbetreiber!$D$28</f>
        <v>Netzgebiet der SW Senftenberg</v>
      </c>
      <c r="E6" s="130"/>
      <c r="F6" s="130"/>
      <c r="I6" s="131" t="s">
        <v>511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486</v>
      </c>
      <c r="D7" s="53">
        <f>Netzbetreiber!$D$11</f>
        <v>9870084600006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133</v>
      </c>
      <c r="D8" s="51">
        <f>Netzbetreiber!$D$6</f>
        <v>44501</v>
      </c>
      <c r="E8" s="130"/>
      <c r="F8" s="130"/>
      <c r="H8" s="128" t="s">
        <v>495</v>
      </c>
      <c r="J8" s="132">
        <f>COUNTA(D12:D89)</f>
        <v>4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249</v>
      </c>
      <c r="C10" s="135" t="s">
        <v>493</v>
      </c>
      <c r="D10" s="134" t="s">
        <v>147</v>
      </c>
      <c r="E10" s="277" t="s">
        <v>513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638</v>
      </c>
      <c r="M10" s="150" t="s">
        <v>647</v>
      </c>
      <c r="N10" s="151" t="s">
        <v>648</v>
      </c>
      <c r="O10" s="151" t="s">
        <v>649</v>
      </c>
      <c r="P10" s="152" t="s">
        <v>650</v>
      </c>
      <c r="Q10" s="146" t="s">
        <v>639</v>
      </c>
      <c r="R10" s="136" t="s">
        <v>640</v>
      </c>
      <c r="S10" s="137" t="s">
        <v>641</v>
      </c>
      <c r="T10" s="137" t="s">
        <v>642</v>
      </c>
      <c r="U10" s="137" t="s">
        <v>643</v>
      </c>
      <c r="V10" s="137" t="s">
        <v>644</v>
      </c>
      <c r="W10" s="137" t="s">
        <v>645</v>
      </c>
      <c r="X10" s="138" t="s">
        <v>646</v>
      </c>
      <c r="Y10" s="305" t="s">
        <v>651</v>
      </c>
    </row>
    <row r="11" spans="2:26" ht="15.75" thickBot="1">
      <c r="B11" s="139" t="s">
        <v>496</v>
      </c>
      <c r="C11" s="140" t="s">
        <v>512</v>
      </c>
      <c r="D11" s="304" t="s">
        <v>248</v>
      </c>
      <c r="E11" s="164" t="s">
        <v>519</v>
      </c>
      <c r="F11" s="30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214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213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302">
        <v>365.12299999999999</v>
      </c>
    </row>
    <row r="12" spans="2:26">
      <c r="B12" s="141">
        <v>1</v>
      </c>
      <c r="C12" s="142" t="str">
        <f t="shared" ref="C12:C30" si="0">$D$6</f>
        <v>Netzgebiet der SW Senftenberg</v>
      </c>
      <c r="D12" s="62" t="s">
        <v>248</v>
      </c>
      <c r="E12" s="165" t="s">
        <v>494</v>
      </c>
      <c r="F12" s="307" t="str">
        <f>VLOOKUP($E12,'BDEW-Standard'!$B$3:$M$94,F$9,0)</f>
        <v>1D3</v>
      </c>
      <c r="H12" s="278">
        <f>ROUND(VLOOKUP($E12,'BDEW-Standard'!$B$3:$M$94,H$9,0),7)</f>
        <v>1.6209544</v>
      </c>
      <c r="I12" s="278">
        <f>ROUND(VLOOKUP($E12,'BDEW-Standard'!$B$3:$M$94,I$9,0),7)</f>
        <v>-37.183314099999997</v>
      </c>
      <c r="J12" s="278">
        <f>ROUND(VLOOKUP($E12,'BDEW-Standard'!$B$3:$M$94,J$9,0),7)</f>
        <v>5.6727847000000002</v>
      </c>
      <c r="K12" s="278">
        <f>ROUND(VLOOKUP($E12,'BDEW-Standard'!$B$3:$M$94,K$9,0),7)</f>
        <v>7.1643100000000001E-2</v>
      </c>
      <c r="L12" s="279">
        <f>ROUND(VLOOKUP($E12,'BDEW-Standard'!$B$3:$M$94,L$9,0),1)</f>
        <v>40</v>
      </c>
      <c r="M12" s="278">
        <f>ROUND(VLOOKUP($E12,'BDEW-Standard'!$B$3:$M$94,M$9,0),7)</f>
        <v>-4.9570000000000003E-2</v>
      </c>
      <c r="N12" s="278">
        <f>ROUND(VLOOKUP($E12,'BDEW-Standard'!$B$3:$M$94,N$9,0),7)</f>
        <v>0.84010149999999995</v>
      </c>
      <c r="O12" s="278">
        <f>ROUND(VLOOKUP($E12,'BDEW-Standard'!$B$3:$M$94,O$9,0),7)</f>
        <v>-2.209E-3</v>
      </c>
      <c r="P12" s="278">
        <f>ROUND(VLOOKUP($E12,'BDEW-Standard'!$B$3:$M$94,P$9,0),7)</f>
        <v>0.1074468</v>
      </c>
      <c r="Q12" s="280">
        <f t="shared" ref="Q12:Q15" si="1">($H12/(1+($I12/($Q$9-$L12))^$J12)+$K12)+MAX($M12*$Q$9+$N12,$O12*$Q$9+$P12)</f>
        <v>1.0000001417752751</v>
      </c>
      <c r="R12" s="281">
        <f>ROUND(VLOOKUP(MID($E12,4,3),'Wochentag F(WT)'!$B$7:$J$22,R$9,0),4)</f>
        <v>1</v>
      </c>
      <c r="S12" s="281">
        <f>ROUND(VLOOKUP(MID($E12,4,3),'Wochentag F(WT)'!$B$7:$J$22,S$9,0),4)</f>
        <v>1</v>
      </c>
      <c r="T12" s="281">
        <f>ROUND(VLOOKUP(MID($E12,4,3),'Wochentag F(WT)'!$B$7:$J$22,T$9,0),4)</f>
        <v>1</v>
      </c>
      <c r="U12" s="281">
        <f>ROUND(VLOOKUP(MID($E12,4,3),'Wochentag F(WT)'!$B$7:$J$22,U$9,0),4)</f>
        <v>1</v>
      </c>
      <c r="V12" s="281">
        <f>ROUND(VLOOKUP(MID($E12,4,3),'Wochentag F(WT)'!$B$7:$J$22,V$9,0),4)</f>
        <v>1</v>
      </c>
      <c r="W12" s="281">
        <f>ROUND(VLOOKUP(MID($E12,4,3),'Wochentag F(WT)'!$B$7:$J$22,W$9,0),4)</f>
        <v>1</v>
      </c>
      <c r="X12" s="282">
        <f>7-SUM(R12:W12)</f>
        <v>1</v>
      </c>
      <c r="Y12" s="303"/>
      <c r="Z12" s="212"/>
    </row>
    <row r="13" spans="2:26" s="143" customFormat="1">
      <c r="B13" s="144">
        <v>2</v>
      </c>
      <c r="C13" s="145" t="str">
        <f t="shared" si="0"/>
        <v>Netzgebiet der SW Senftenberg</v>
      </c>
      <c r="D13" s="62" t="s">
        <v>248</v>
      </c>
      <c r="E13" s="165" t="s">
        <v>510</v>
      </c>
      <c r="F13" s="307" t="str">
        <f>VLOOKUP($E13,'BDEW-Standard'!$B$3:$M$94,F$9,0)</f>
        <v>2D3</v>
      </c>
      <c r="H13" s="278">
        <f>ROUND(VLOOKUP($E13,'BDEW-Standard'!$B$3:$M$94,H$9,0),7)</f>
        <v>1.2328654999999999</v>
      </c>
      <c r="I13" s="278">
        <f>ROUND(VLOOKUP($E13,'BDEW-Standard'!$B$3:$M$94,I$9,0),7)</f>
        <v>-34.721360500000003</v>
      </c>
      <c r="J13" s="278">
        <f>ROUND(VLOOKUP($E13,'BDEW-Standard'!$B$3:$M$94,J$9,0),7)</f>
        <v>5.8164303999999998</v>
      </c>
      <c r="K13" s="278">
        <f>ROUND(VLOOKUP($E13,'BDEW-Standard'!$B$3:$M$94,K$9,0),7)</f>
        <v>8.7335200000000002E-2</v>
      </c>
      <c r="L13" s="279">
        <f>ROUND(VLOOKUP($E13,'BDEW-Standard'!$B$3:$M$94,L$9,0),1)</f>
        <v>40</v>
      </c>
      <c r="M13" s="278">
        <f>ROUND(VLOOKUP($E13,'BDEW-Standard'!$B$3:$M$94,M$9,0),7)</f>
        <v>-4.0928399999999997E-2</v>
      </c>
      <c r="N13" s="278">
        <f>ROUND(VLOOKUP($E13,'BDEW-Standard'!$B$3:$M$94,N$9,0),7)</f>
        <v>0.76729199999999997</v>
      </c>
      <c r="O13" s="278">
        <f>ROUND(VLOOKUP($E13,'BDEW-Standard'!$B$3:$M$94,O$9,0),7)</f>
        <v>-2.232E-3</v>
      </c>
      <c r="P13" s="278">
        <f>ROUND(VLOOKUP($E13,'BDEW-Standard'!$B$3:$M$94,P$9,0),7)</f>
        <v>0.11992070000000001</v>
      </c>
      <c r="Q13" s="280">
        <f t="shared" si="1"/>
        <v>0.99999997653191475</v>
      </c>
      <c r="R13" s="281">
        <f>ROUND(VLOOKUP(MID($E13,4,3),'Wochentag F(WT)'!$B$7:$J$22,R$9,0),4)</f>
        <v>1</v>
      </c>
      <c r="S13" s="281">
        <f>ROUND(VLOOKUP(MID($E13,4,3),'Wochentag F(WT)'!$B$7:$J$22,S$9,0),4)</f>
        <v>1</v>
      </c>
      <c r="T13" s="281">
        <f>ROUND(VLOOKUP(MID($E13,4,3),'Wochentag F(WT)'!$B$7:$J$22,T$9,0),4)</f>
        <v>1</v>
      </c>
      <c r="U13" s="281">
        <f>ROUND(VLOOKUP(MID($E13,4,3),'Wochentag F(WT)'!$B$7:$J$22,U$9,0),4)</f>
        <v>1</v>
      </c>
      <c r="V13" s="281">
        <f>ROUND(VLOOKUP(MID($E13,4,3),'Wochentag F(WT)'!$B$7:$J$22,V$9,0),4)</f>
        <v>1</v>
      </c>
      <c r="W13" s="281">
        <f>ROUND(VLOOKUP(MID($E13,4,3),'Wochentag F(WT)'!$B$7:$J$22,W$9,0),4)</f>
        <v>1</v>
      </c>
      <c r="X13" s="282">
        <f t="shared" ref="X13:X15" si="2">7-SUM(R13:W13)</f>
        <v>1</v>
      </c>
      <c r="Y13" s="303"/>
      <c r="Z13" s="212"/>
    </row>
    <row r="14" spans="2:26" s="143" customFormat="1">
      <c r="B14" s="144">
        <v>3</v>
      </c>
      <c r="C14" s="145" t="str">
        <f t="shared" si="0"/>
        <v>Netzgebiet der SW Senftenberg</v>
      </c>
      <c r="D14" s="62" t="s">
        <v>248</v>
      </c>
      <c r="E14" s="165" t="s">
        <v>4</v>
      </c>
      <c r="F14" s="307" t="str">
        <f>VLOOKUP($E14,'BDEW-Standard'!$B$3:$M$94,F$9,0)</f>
        <v>HK3</v>
      </c>
      <c r="H14" s="278">
        <f>ROUND(VLOOKUP($E14,'BDEW-Standard'!$B$3:$M$94,H$9,0),7)</f>
        <v>0.40409319999999999</v>
      </c>
      <c r="I14" s="278">
        <f>ROUND(VLOOKUP($E14,'BDEW-Standard'!$B$3:$M$94,I$9,0),7)</f>
        <v>-24.439296800000001</v>
      </c>
      <c r="J14" s="278">
        <f>ROUND(VLOOKUP($E14,'BDEW-Standard'!$B$3:$M$94,J$9,0),7)</f>
        <v>6.5718174999999999</v>
      </c>
      <c r="K14" s="278">
        <f>ROUND(VLOOKUP($E14,'BDEW-Standard'!$B$3:$M$94,K$9,0),7)</f>
        <v>0.71077100000000004</v>
      </c>
      <c r="L14" s="279">
        <f>ROUND(VLOOKUP($E14,'BDEW-Standard'!$B$3:$M$94,L$9,0),1)</f>
        <v>40</v>
      </c>
      <c r="M14" s="278">
        <f>ROUND(VLOOKUP($E14,'BDEW-Standard'!$B$3:$M$94,M$9,0),7)</f>
        <v>0</v>
      </c>
      <c r="N14" s="278">
        <f>ROUND(VLOOKUP($E14,'BDEW-Standard'!$B$3:$M$94,N$9,0),7)</f>
        <v>0</v>
      </c>
      <c r="O14" s="278">
        <f>ROUND(VLOOKUP($E14,'BDEW-Standard'!$B$3:$M$94,O$9,0),7)</f>
        <v>0</v>
      </c>
      <c r="P14" s="278">
        <f>ROUND(VLOOKUP($E14,'BDEW-Standard'!$B$3:$M$94,P$9,0),7)</f>
        <v>0</v>
      </c>
      <c r="Q14" s="280">
        <f t="shared" si="1"/>
        <v>1.0561214000512988</v>
      </c>
      <c r="R14" s="281">
        <f>ROUND(VLOOKUP(MID($E14,4,3),'Wochentag F(WT)'!$B$7:$J$22,R$9,0),4)</f>
        <v>1</v>
      </c>
      <c r="S14" s="281">
        <f>ROUND(VLOOKUP(MID($E14,4,3),'Wochentag F(WT)'!$B$7:$J$22,S$9,0),4)</f>
        <v>1</v>
      </c>
      <c r="T14" s="281">
        <f>ROUND(VLOOKUP(MID($E14,4,3),'Wochentag F(WT)'!$B$7:$J$22,T$9,0),4)</f>
        <v>1</v>
      </c>
      <c r="U14" s="281">
        <f>ROUND(VLOOKUP(MID($E14,4,3),'Wochentag F(WT)'!$B$7:$J$22,U$9,0),4)</f>
        <v>1</v>
      </c>
      <c r="V14" s="281">
        <f>ROUND(VLOOKUP(MID($E14,4,3),'Wochentag F(WT)'!$B$7:$J$22,V$9,0),4)</f>
        <v>1</v>
      </c>
      <c r="W14" s="281">
        <f>ROUND(VLOOKUP(MID($E14,4,3),'Wochentag F(WT)'!$B$7:$J$22,W$9,0),4)</f>
        <v>1</v>
      </c>
      <c r="X14" s="282">
        <f t="shared" si="2"/>
        <v>1</v>
      </c>
      <c r="Y14" s="303"/>
      <c r="Z14" s="212"/>
    </row>
    <row r="15" spans="2:26" s="143" customFormat="1">
      <c r="B15" s="144">
        <v>7</v>
      </c>
      <c r="C15" s="145" t="str">
        <f t="shared" si="0"/>
        <v>Netzgebiet der SW Senftenberg</v>
      </c>
      <c r="D15" s="62" t="s">
        <v>248</v>
      </c>
      <c r="E15" s="165" t="s">
        <v>250</v>
      </c>
      <c r="F15" s="307" t="str">
        <f>VLOOKUP($E15,'BDEW-Standard'!$B$3:$M$94,F$9,0)</f>
        <v>DB3</v>
      </c>
      <c r="H15" s="278">
        <f>ROUND(VLOOKUP($E15,'BDEW-Standard'!$B$3:$M$94,H$9,0),7)</f>
        <v>1.4633681999999999</v>
      </c>
      <c r="I15" s="278">
        <f>ROUND(VLOOKUP($E15,'BDEW-Standard'!$B$3:$M$94,I$9,0),7)</f>
        <v>-36.179411700000003</v>
      </c>
      <c r="J15" s="278">
        <f>ROUND(VLOOKUP($E15,'BDEW-Standard'!$B$3:$M$94,J$9,0),7)</f>
        <v>5.9265162</v>
      </c>
      <c r="K15" s="278">
        <f>ROUND(VLOOKUP($E15,'BDEW-Standard'!$B$3:$M$94,K$9,0),7)</f>
        <v>8.0883499999999997E-2</v>
      </c>
      <c r="L15" s="279">
        <f>ROUND(VLOOKUP($E15,'BDEW-Standard'!$B$3:$M$94,L$9,0),1)</f>
        <v>40</v>
      </c>
      <c r="M15" s="278">
        <f>ROUND(VLOOKUP($E15,'BDEW-Standard'!$B$3:$M$94,M$9,0),7)</f>
        <v>-4.7579999999999997E-2</v>
      </c>
      <c r="N15" s="278">
        <f>ROUND(VLOOKUP($E15,'BDEW-Standard'!$B$3:$M$94,N$9,0),7)</f>
        <v>0.82307540000000001</v>
      </c>
      <c r="O15" s="278">
        <f>ROUND(VLOOKUP($E15,'BDEW-Standard'!$B$3:$M$94,O$9,0),7)</f>
        <v>-1.9273000000000001E-3</v>
      </c>
      <c r="P15" s="278">
        <f>ROUND(VLOOKUP($E15,'BDEW-Standard'!$B$3:$M$94,P$9,0),7)</f>
        <v>0.1077046</v>
      </c>
      <c r="Q15" s="280">
        <f t="shared" si="1"/>
        <v>0.99999993818735389</v>
      </c>
      <c r="R15" s="281">
        <f>ROUND(VLOOKUP(MID($E15,4,3),'Wochentag F(WT)'!$B$7:$J$22,R$9,0),4)</f>
        <v>1.1052</v>
      </c>
      <c r="S15" s="281">
        <f>ROUND(VLOOKUP(MID($E15,4,3),'Wochentag F(WT)'!$B$7:$J$22,S$9,0),4)</f>
        <v>1.0857000000000001</v>
      </c>
      <c r="T15" s="281">
        <f>ROUND(VLOOKUP(MID($E15,4,3),'Wochentag F(WT)'!$B$7:$J$22,T$9,0),4)</f>
        <v>1.0378000000000001</v>
      </c>
      <c r="U15" s="281">
        <f>ROUND(VLOOKUP(MID($E15,4,3),'Wochentag F(WT)'!$B$7:$J$22,U$9,0),4)</f>
        <v>1.0622</v>
      </c>
      <c r="V15" s="281">
        <f>ROUND(VLOOKUP(MID($E15,4,3),'Wochentag F(WT)'!$B$7:$J$22,V$9,0),4)</f>
        <v>1.0266</v>
      </c>
      <c r="W15" s="281">
        <f>ROUND(VLOOKUP(MID($E15,4,3),'Wochentag F(WT)'!$B$7:$J$22,W$9,0),4)</f>
        <v>0.76290000000000002</v>
      </c>
      <c r="X15" s="282">
        <f t="shared" si="2"/>
        <v>0.91959999999999997</v>
      </c>
      <c r="Y15" s="303"/>
      <c r="Z15" s="212"/>
    </row>
    <row r="16" spans="2:26" s="143" customFormat="1">
      <c r="B16" s="144">
        <v>16</v>
      </c>
      <c r="C16" s="145" t="str">
        <f t="shared" si="0"/>
        <v>Netzgebiet der SW Senftenberg</v>
      </c>
      <c r="D16" s="62"/>
      <c r="E16" s="166"/>
      <c r="F16" s="307"/>
      <c r="H16" s="283"/>
      <c r="I16" s="283"/>
      <c r="J16" s="283"/>
      <c r="K16" s="283"/>
      <c r="L16" s="279"/>
      <c r="M16" s="283"/>
      <c r="N16" s="283"/>
      <c r="O16" s="283"/>
      <c r="P16" s="283"/>
      <c r="Q16" s="284"/>
      <c r="R16" s="285"/>
      <c r="S16" s="285"/>
      <c r="T16" s="285"/>
      <c r="U16" s="285"/>
      <c r="V16" s="285"/>
      <c r="W16" s="285"/>
      <c r="X16" s="286"/>
      <c r="Y16" s="303"/>
    </row>
    <row r="17" spans="2:25" s="143" customFormat="1">
      <c r="B17" s="144">
        <v>17</v>
      </c>
      <c r="C17" s="145" t="str">
        <f t="shared" si="0"/>
        <v>Netzgebiet der SW Senftenberg</v>
      </c>
      <c r="D17" s="62"/>
      <c r="E17" s="166"/>
      <c r="F17" s="307"/>
      <c r="H17" s="283"/>
      <c r="I17" s="283"/>
      <c r="J17" s="283"/>
      <c r="K17" s="283"/>
      <c r="L17" s="279"/>
      <c r="M17" s="283"/>
      <c r="N17" s="283"/>
      <c r="O17" s="283"/>
      <c r="P17" s="283"/>
      <c r="Q17" s="284"/>
      <c r="R17" s="285"/>
      <c r="S17" s="285"/>
      <c r="T17" s="285"/>
      <c r="U17" s="285"/>
      <c r="V17" s="285"/>
      <c r="W17" s="285"/>
      <c r="X17" s="286"/>
      <c r="Y17" s="303"/>
    </row>
    <row r="18" spans="2:25" s="143" customFormat="1">
      <c r="B18" s="144">
        <v>18</v>
      </c>
      <c r="C18" s="145" t="str">
        <f t="shared" si="0"/>
        <v>Netzgebiet der SW Senftenberg</v>
      </c>
      <c r="D18" s="62"/>
      <c r="E18" s="166"/>
      <c r="F18" s="307"/>
      <c r="H18" s="283"/>
      <c r="I18" s="283"/>
      <c r="J18" s="283"/>
      <c r="K18" s="283"/>
      <c r="L18" s="279"/>
      <c r="M18" s="283"/>
      <c r="N18" s="283"/>
      <c r="O18" s="283"/>
      <c r="P18" s="283"/>
      <c r="Q18" s="284"/>
      <c r="R18" s="285"/>
      <c r="S18" s="285"/>
      <c r="T18" s="285"/>
      <c r="U18" s="285"/>
      <c r="V18" s="285"/>
      <c r="W18" s="285"/>
      <c r="X18" s="286"/>
      <c r="Y18" s="303"/>
    </row>
    <row r="19" spans="2:25" s="143" customFormat="1">
      <c r="B19" s="144">
        <v>19</v>
      </c>
      <c r="C19" s="145" t="str">
        <f t="shared" si="0"/>
        <v>Netzgebiet der SW Senftenberg</v>
      </c>
      <c r="D19" s="62"/>
      <c r="E19" s="166"/>
      <c r="F19" s="307"/>
      <c r="H19" s="283"/>
      <c r="I19" s="283"/>
      <c r="J19" s="283"/>
      <c r="K19" s="283"/>
      <c r="L19" s="279"/>
      <c r="M19" s="283"/>
      <c r="N19" s="283"/>
      <c r="O19" s="283"/>
      <c r="P19" s="283"/>
      <c r="Q19" s="284"/>
      <c r="R19" s="285"/>
      <c r="S19" s="285"/>
      <c r="T19" s="285"/>
      <c r="U19" s="285"/>
      <c r="V19" s="285"/>
      <c r="W19" s="285"/>
      <c r="X19" s="286"/>
      <c r="Y19" s="303"/>
    </row>
    <row r="20" spans="2:25" s="143" customFormat="1">
      <c r="B20" s="144">
        <v>20</v>
      </c>
      <c r="C20" s="145" t="str">
        <f t="shared" si="0"/>
        <v>Netzgebiet der SW Senftenberg</v>
      </c>
      <c r="D20" s="62"/>
      <c r="E20" s="166"/>
      <c r="F20" s="307"/>
      <c r="H20" s="283"/>
      <c r="I20" s="283"/>
      <c r="J20" s="283"/>
      <c r="K20" s="283"/>
      <c r="L20" s="279"/>
      <c r="M20" s="283"/>
      <c r="N20" s="283"/>
      <c r="O20" s="283"/>
      <c r="P20" s="283"/>
      <c r="Q20" s="284"/>
      <c r="R20" s="285"/>
      <c r="S20" s="285"/>
      <c r="T20" s="285"/>
      <c r="U20" s="285"/>
      <c r="V20" s="285"/>
      <c r="W20" s="285"/>
      <c r="X20" s="286"/>
      <c r="Y20" s="303"/>
    </row>
    <row r="21" spans="2:25" s="143" customFormat="1">
      <c r="B21" s="144">
        <v>21</v>
      </c>
      <c r="C21" s="145" t="str">
        <f t="shared" si="0"/>
        <v>Netzgebiet der SW Senftenberg</v>
      </c>
      <c r="D21" s="62"/>
      <c r="E21" s="166"/>
      <c r="F21" s="307"/>
      <c r="H21" s="283"/>
      <c r="I21" s="283"/>
      <c r="J21" s="283"/>
      <c r="K21" s="283"/>
      <c r="L21" s="279"/>
      <c r="M21" s="283"/>
      <c r="N21" s="283"/>
      <c r="O21" s="283"/>
      <c r="P21" s="283"/>
      <c r="Q21" s="284"/>
      <c r="R21" s="285"/>
      <c r="S21" s="285"/>
      <c r="T21" s="285"/>
      <c r="U21" s="285"/>
      <c r="V21" s="285"/>
      <c r="W21" s="285"/>
      <c r="X21" s="286"/>
      <c r="Y21" s="303"/>
    </row>
    <row r="22" spans="2:25" s="143" customFormat="1">
      <c r="B22" s="144">
        <v>22</v>
      </c>
      <c r="C22" s="145" t="str">
        <f t="shared" si="0"/>
        <v>Netzgebiet der SW Senftenberg</v>
      </c>
      <c r="D22" s="62"/>
      <c r="E22" s="166"/>
      <c r="F22" s="307"/>
      <c r="H22" s="283"/>
      <c r="I22" s="283"/>
      <c r="J22" s="283"/>
      <c r="K22" s="283"/>
      <c r="L22" s="279"/>
      <c r="M22" s="283"/>
      <c r="N22" s="283"/>
      <c r="O22" s="283"/>
      <c r="P22" s="283"/>
      <c r="Q22" s="284"/>
      <c r="R22" s="285"/>
      <c r="S22" s="285"/>
      <c r="T22" s="285"/>
      <c r="U22" s="285"/>
      <c r="V22" s="285"/>
      <c r="W22" s="285"/>
      <c r="X22" s="286"/>
      <c r="Y22" s="303"/>
    </row>
    <row r="23" spans="2:25" s="143" customFormat="1">
      <c r="B23" s="144">
        <v>23</v>
      </c>
      <c r="C23" s="145" t="str">
        <f t="shared" si="0"/>
        <v>Netzgebiet der SW Senftenberg</v>
      </c>
      <c r="D23" s="62"/>
      <c r="E23" s="166"/>
      <c r="F23" s="307"/>
      <c r="H23" s="283"/>
      <c r="I23" s="283"/>
      <c r="J23" s="283"/>
      <c r="K23" s="283"/>
      <c r="L23" s="279"/>
      <c r="M23" s="283"/>
      <c r="N23" s="283"/>
      <c r="O23" s="283"/>
      <c r="P23" s="283"/>
      <c r="Q23" s="284"/>
      <c r="R23" s="285"/>
      <c r="S23" s="285"/>
      <c r="T23" s="285"/>
      <c r="U23" s="285"/>
      <c r="V23" s="285"/>
      <c r="W23" s="285"/>
      <c r="X23" s="286"/>
      <c r="Y23" s="303"/>
    </row>
    <row r="24" spans="2:25" s="143" customFormat="1">
      <c r="B24" s="144">
        <v>24</v>
      </c>
      <c r="C24" s="145" t="str">
        <f t="shared" si="0"/>
        <v>Netzgebiet der SW Senftenberg</v>
      </c>
      <c r="D24" s="62"/>
      <c r="E24" s="166"/>
      <c r="F24" s="307"/>
      <c r="H24" s="283"/>
      <c r="I24" s="283"/>
      <c r="J24" s="283"/>
      <c r="K24" s="283"/>
      <c r="L24" s="279"/>
      <c r="M24" s="283"/>
      <c r="N24" s="283"/>
      <c r="O24" s="283"/>
      <c r="P24" s="283"/>
      <c r="Q24" s="284"/>
      <c r="R24" s="285"/>
      <c r="S24" s="285"/>
      <c r="T24" s="285"/>
      <c r="U24" s="285"/>
      <c r="V24" s="285"/>
      <c r="W24" s="285"/>
      <c r="X24" s="286"/>
      <c r="Y24" s="303"/>
    </row>
    <row r="25" spans="2:25" s="143" customFormat="1">
      <c r="B25" s="144">
        <v>25</v>
      </c>
      <c r="C25" s="145" t="str">
        <f t="shared" si="0"/>
        <v>Netzgebiet der SW Senftenberg</v>
      </c>
      <c r="D25" s="62"/>
      <c r="E25" s="166"/>
      <c r="F25" s="307"/>
      <c r="H25" s="283"/>
      <c r="I25" s="283"/>
      <c r="J25" s="283"/>
      <c r="K25" s="283"/>
      <c r="L25" s="279"/>
      <c r="M25" s="283"/>
      <c r="N25" s="283"/>
      <c r="O25" s="283"/>
      <c r="P25" s="283"/>
      <c r="Q25" s="284"/>
      <c r="R25" s="285"/>
      <c r="S25" s="285"/>
      <c r="T25" s="285"/>
      <c r="U25" s="285"/>
      <c r="V25" s="285"/>
      <c r="W25" s="285"/>
      <c r="X25" s="286"/>
      <c r="Y25" s="303"/>
    </row>
    <row r="26" spans="2:25" s="143" customFormat="1">
      <c r="B26" s="144">
        <v>26</v>
      </c>
      <c r="C26" s="145" t="str">
        <f t="shared" si="0"/>
        <v>Netzgebiet der SW Senftenberg</v>
      </c>
      <c r="D26" s="62"/>
      <c r="E26" s="166"/>
      <c r="F26" s="307"/>
      <c r="H26" s="283"/>
      <c r="I26" s="283"/>
      <c r="J26" s="283"/>
      <c r="K26" s="283"/>
      <c r="L26" s="279"/>
      <c r="M26" s="283"/>
      <c r="N26" s="283"/>
      <c r="O26" s="283"/>
      <c r="P26" s="283"/>
      <c r="Q26" s="284"/>
      <c r="R26" s="285"/>
      <c r="S26" s="285"/>
      <c r="T26" s="285"/>
      <c r="U26" s="285"/>
      <c r="V26" s="285"/>
      <c r="W26" s="285"/>
      <c r="X26" s="286"/>
      <c r="Y26" s="303"/>
    </row>
    <row r="27" spans="2:25" s="143" customFormat="1">
      <c r="B27" s="144">
        <v>27</v>
      </c>
      <c r="C27" s="145" t="str">
        <f t="shared" si="0"/>
        <v>Netzgebiet der SW Senftenberg</v>
      </c>
      <c r="D27" s="62"/>
      <c r="E27" s="166"/>
      <c r="F27" s="307"/>
      <c r="H27" s="283"/>
      <c r="I27" s="283"/>
      <c r="J27" s="283"/>
      <c r="K27" s="283"/>
      <c r="L27" s="279"/>
      <c r="M27" s="283"/>
      <c r="N27" s="283"/>
      <c r="O27" s="283"/>
      <c r="P27" s="283"/>
      <c r="Q27" s="284"/>
      <c r="R27" s="285"/>
      <c r="S27" s="285"/>
      <c r="T27" s="285"/>
      <c r="U27" s="285"/>
      <c r="V27" s="285"/>
      <c r="W27" s="285"/>
      <c r="X27" s="286"/>
      <c r="Y27" s="303"/>
    </row>
    <row r="28" spans="2:25" s="143" customFormat="1">
      <c r="B28" s="144">
        <v>28</v>
      </c>
      <c r="C28" s="145" t="str">
        <f t="shared" si="0"/>
        <v>Netzgebiet der SW Senftenberg</v>
      </c>
      <c r="D28" s="62"/>
      <c r="E28" s="166"/>
      <c r="F28" s="307"/>
      <c r="H28" s="283"/>
      <c r="I28" s="283"/>
      <c r="J28" s="283"/>
      <c r="K28" s="283"/>
      <c r="L28" s="279"/>
      <c r="M28" s="283"/>
      <c r="N28" s="283"/>
      <c r="O28" s="283"/>
      <c r="P28" s="283"/>
      <c r="Q28" s="284"/>
      <c r="R28" s="285"/>
      <c r="S28" s="285"/>
      <c r="T28" s="285"/>
      <c r="U28" s="285"/>
      <c r="V28" s="285"/>
      <c r="W28" s="285"/>
      <c r="X28" s="286"/>
      <c r="Y28" s="303"/>
    </row>
    <row r="29" spans="2:25" s="143" customFormat="1">
      <c r="B29" s="144">
        <v>29</v>
      </c>
      <c r="C29" s="145" t="str">
        <f t="shared" si="0"/>
        <v>Netzgebiet der SW Senftenberg</v>
      </c>
      <c r="D29" s="62"/>
      <c r="E29" s="166"/>
      <c r="F29" s="307"/>
      <c r="H29" s="283"/>
      <c r="I29" s="283"/>
      <c r="J29" s="283"/>
      <c r="K29" s="283"/>
      <c r="L29" s="279"/>
      <c r="M29" s="283"/>
      <c r="N29" s="283"/>
      <c r="O29" s="283"/>
      <c r="P29" s="283"/>
      <c r="Q29" s="284"/>
      <c r="R29" s="285"/>
      <c r="S29" s="285"/>
      <c r="T29" s="285"/>
      <c r="U29" s="285"/>
      <c r="V29" s="285"/>
      <c r="W29" s="285"/>
      <c r="X29" s="286"/>
      <c r="Y29" s="303"/>
    </row>
    <row r="30" spans="2:25" s="143" customFormat="1">
      <c r="B30" s="144">
        <v>30</v>
      </c>
      <c r="C30" s="145" t="str">
        <f t="shared" si="0"/>
        <v>Netzgebiet der SW Senftenberg</v>
      </c>
      <c r="D30" s="62"/>
      <c r="E30" s="166"/>
      <c r="F30" s="307"/>
      <c r="H30" s="283"/>
      <c r="I30" s="283"/>
      <c r="J30" s="283"/>
      <c r="K30" s="283"/>
      <c r="L30" s="279"/>
      <c r="M30" s="283"/>
      <c r="N30" s="283"/>
      <c r="O30" s="283"/>
      <c r="P30" s="283"/>
      <c r="Q30" s="284"/>
      <c r="R30" s="285"/>
      <c r="S30" s="285"/>
      <c r="T30" s="285"/>
      <c r="U30" s="285"/>
      <c r="V30" s="285"/>
      <c r="W30" s="285"/>
      <c r="X30" s="286"/>
      <c r="Y30" s="303"/>
    </row>
    <row r="31" spans="2:25"/>
    <row r="32" spans="2:25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</sheetData>
  <conditionalFormatting sqref="F11:F30 H11:Y30">
    <cfRule type="expression" dxfId="10" priority="9">
      <formula>ISERROR(F11)</formula>
    </cfRule>
  </conditionalFormatting>
  <conditionalFormatting sqref="E12:F30 Y12:Y30">
    <cfRule type="duplicateValues" dxfId="0" priority="45"/>
  </conditionalFormatting>
  <dataValidations count="2">
    <dataValidation errorStyle="warning" allowBlank="1" showInputMessage="1" showErrorMessage="1" errorTitle="Profil-Art" error="Bitte Profilwahl gemäß Auswahlfeld" sqref="D11"/>
    <dataValidation type="list" errorStyle="warning" allowBlank="1" showInputMessage="1" showErrorMessage="1" errorTitle="Profil-Art" error="Bitte Profilwahl gemäß Auswahlfeld" sqref="D12:D30">
      <formula1>"BDEW,Ind.-Koef."</formula1>
    </dataValidation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D11:D30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allowBlank="1" showInputMessage="1" showErrorMessage="1">
          <x14:formula1>
            <xm:f>'BDEW-Standard'!$B$3:$B$94</xm:f>
          </x14:formula1>
          <xm:sqref>E12:E15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345</v>
      </c>
      <c r="B1" s="216">
        <v>42173</v>
      </c>
      <c r="D1" s="131" t="s">
        <v>452</v>
      </c>
      <c r="F1" s="217" t="s">
        <v>548</v>
      </c>
      <c r="N1" s="218"/>
    </row>
    <row r="2" spans="1:14" ht="25.5">
      <c r="A2" s="219" t="s">
        <v>269</v>
      </c>
      <c r="B2" s="220" t="s">
        <v>146</v>
      </c>
      <c r="C2" s="221" t="s">
        <v>148</v>
      </c>
      <c r="D2" s="222" t="s">
        <v>149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70</v>
      </c>
      <c r="J2" s="223" t="s">
        <v>150</v>
      </c>
      <c r="K2" s="223" t="s">
        <v>151</v>
      </c>
      <c r="L2" s="223" t="s">
        <v>152</v>
      </c>
      <c r="M2" s="225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153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154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155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156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157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158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159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160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161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162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246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163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164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165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166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167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168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169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170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171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172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173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174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175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176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177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178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179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180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181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182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183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184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185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186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187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188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189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190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191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192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193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194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195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196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197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198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199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200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201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202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203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204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205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206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207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208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209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210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211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212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213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214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215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216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217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218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219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220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221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222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223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224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225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226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227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228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229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230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231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232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233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234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235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236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237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238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239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240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241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242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243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245</v>
      </c>
      <c r="B95" s="128" t="s">
        <v>50</v>
      </c>
      <c r="C95" s="128" t="s">
        <v>315</v>
      </c>
      <c r="D95" s="235" t="s">
        <v>270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245</v>
      </c>
      <c r="B96" s="128" t="s">
        <v>55</v>
      </c>
      <c r="C96" s="128" t="s">
        <v>320</v>
      </c>
      <c r="D96" s="235" t="s">
        <v>270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245</v>
      </c>
      <c r="B97" s="128" t="s">
        <v>60</v>
      </c>
      <c r="C97" s="128" t="s">
        <v>325</v>
      </c>
      <c r="D97" s="235" t="s">
        <v>270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245</v>
      </c>
      <c r="B98" s="128" t="s">
        <v>65</v>
      </c>
      <c r="C98" s="128" t="s">
        <v>330</v>
      </c>
      <c r="D98" s="235" t="s">
        <v>270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245</v>
      </c>
      <c r="B99" s="128" t="s">
        <v>18</v>
      </c>
      <c r="C99" s="128" t="s">
        <v>283</v>
      </c>
      <c r="D99" s="235" t="s">
        <v>270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245</v>
      </c>
      <c r="B100" s="128" t="s">
        <v>22</v>
      </c>
      <c r="C100" s="128" t="s">
        <v>287</v>
      </c>
      <c r="D100" s="235" t="s">
        <v>270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245</v>
      </c>
      <c r="B101" s="128" t="s">
        <v>26</v>
      </c>
      <c r="C101" s="128" t="s">
        <v>291</v>
      </c>
      <c r="D101" s="235" t="s">
        <v>270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245</v>
      </c>
      <c r="B102" s="128" t="s">
        <v>30</v>
      </c>
      <c r="C102" s="128" t="s">
        <v>295</v>
      </c>
      <c r="D102" s="235" t="s">
        <v>270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245</v>
      </c>
      <c r="B103" s="128" t="s">
        <v>34</v>
      </c>
      <c r="C103" s="128" t="s">
        <v>299</v>
      </c>
      <c r="D103" s="235" t="s">
        <v>270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245</v>
      </c>
      <c r="B104" s="128" t="s">
        <v>38</v>
      </c>
      <c r="C104" s="128" t="s">
        <v>303</v>
      </c>
      <c r="D104" s="235" t="s">
        <v>270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245</v>
      </c>
      <c r="B105" s="128" t="s">
        <v>42</v>
      </c>
      <c r="C105" s="128" t="s">
        <v>307</v>
      </c>
      <c r="D105" s="235" t="s">
        <v>270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245</v>
      </c>
      <c r="B106" s="128" t="s">
        <v>46</v>
      </c>
      <c r="C106" s="128" t="s">
        <v>311</v>
      </c>
      <c r="D106" s="235" t="s">
        <v>270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245</v>
      </c>
      <c r="B107" s="128" t="s">
        <v>51</v>
      </c>
      <c r="C107" s="128" t="s">
        <v>316</v>
      </c>
      <c r="D107" s="235" t="s">
        <v>270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245</v>
      </c>
      <c r="B108" s="128" t="s">
        <v>56</v>
      </c>
      <c r="C108" s="128" t="s">
        <v>321</v>
      </c>
      <c r="D108" s="235" t="s">
        <v>270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245</v>
      </c>
      <c r="B109" s="128" t="s">
        <v>61</v>
      </c>
      <c r="C109" s="128" t="s">
        <v>326</v>
      </c>
      <c r="D109" s="235" t="s">
        <v>270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245</v>
      </c>
      <c r="B110" s="128" t="s">
        <v>66</v>
      </c>
      <c r="C110" s="128" t="s">
        <v>331</v>
      </c>
      <c r="D110" s="235" t="s">
        <v>270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245</v>
      </c>
      <c r="B111" s="128" t="s">
        <v>6</v>
      </c>
      <c r="C111" s="128" t="s">
        <v>271</v>
      </c>
      <c r="D111" s="235" t="s">
        <v>270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245</v>
      </c>
      <c r="B112" s="128" t="s">
        <v>7</v>
      </c>
      <c r="C112" s="128" t="s">
        <v>272</v>
      </c>
      <c r="D112" s="235" t="s">
        <v>270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245</v>
      </c>
      <c r="B113" s="128" t="s">
        <v>8</v>
      </c>
      <c r="C113" s="128" t="s">
        <v>273</v>
      </c>
      <c r="D113" s="235" t="s">
        <v>270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245</v>
      </c>
      <c r="B114" s="128" t="s">
        <v>9</v>
      </c>
      <c r="C114" s="128" t="s">
        <v>274</v>
      </c>
      <c r="D114" s="235" t="s">
        <v>270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245</v>
      </c>
      <c r="B115" s="128" t="s">
        <v>19</v>
      </c>
      <c r="C115" s="128" t="s">
        <v>284</v>
      </c>
      <c r="D115" s="235" t="s">
        <v>270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245</v>
      </c>
      <c r="B116" s="128" t="s">
        <v>23</v>
      </c>
      <c r="C116" s="128" t="s">
        <v>288</v>
      </c>
      <c r="D116" s="235" t="s">
        <v>270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245</v>
      </c>
      <c r="B117" s="128" t="s">
        <v>27</v>
      </c>
      <c r="C117" s="128" t="s">
        <v>292</v>
      </c>
      <c r="D117" s="235" t="s">
        <v>270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245</v>
      </c>
      <c r="B118" s="128" t="s">
        <v>31</v>
      </c>
      <c r="C118" s="128" t="s">
        <v>296</v>
      </c>
      <c r="D118" s="235" t="s">
        <v>270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245</v>
      </c>
      <c r="B119" s="128" t="s">
        <v>10</v>
      </c>
      <c r="C119" s="128" t="s">
        <v>275</v>
      </c>
      <c r="D119" s="235" t="s">
        <v>270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245</v>
      </c>
      <c r="B120" s="128" t="s">
        <v>12</v>
      </c>
      <c r="C120" s="128" t="s">
        <v>277</v>
      </c>
      <c r="D120" s="235" t="s">
        <v>270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245</v>
      </c>
      <c r="B121" s="128" t="s">
        <v>14</v>
      </c>
      <c r="C121" s="128" t="s">
        <v>279</v>
      </c>
      <c r="D121" s="235" t="s">
        <v>270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245</v>
      </c>
      <c r="B122" s="128" t="s">
        <v>16</v>
      </c>
      <c r="C122" s="128" t="s">
        <v>281</v>
      </c>
      <c r="D122" s="235" t="s">
        <v>270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245</v>
      </c>
      <c r="B123" s="128" t="s">
        <v>52</v>
      </c>
      <c r="C123" s="128" t="s">
        <v>317</v>
      </c>
      <c r="D123" s="235" t="s">
        <v>270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245</v>
      </c>
      <c r="B124" s="128" t="s">
        <v>57</v>
      </c>
      <c r="C124" s="128" t="s">
        <v>322</v>
      </c>
      <c r="D124" s="235" t="s">
        <v>270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245</v>
      </c>
      <c r="B125" s="128" t="s">
        <v>62</v>
      </c>
      <c r="C125" s="128" t="s">
        <v>327</v>
      </c>
      <c r="D125" s="235" t="s">
        <v>270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245</v>
      </c>
      <c r="B126" s="128" t="s">
        <v>67</v>
      </c>
      <c r="C126" s="128" t="s">
        <v>332</v>
      </c>
      <c r="D126" s="235" t="s">
        <v>270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245</v>
      </c>
      <c r="B127" s="128" t="s">
        <v>20</v>
      </c>
      <c r="C127" s="128" t="s">
        <v>285</v>
      </c>
      <c r="D127" s="235" t="s">
        <v>270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245</v>
      </c>
      <c r="B128" s="128" t="s">
        <v>24</v>
      </c>
      <c r="C128" s="128" t="s">
        <v>289</v>
      </c>
      <c r="D128" s="235" t="s">
        <v>270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245</v>
      </c>
      <c r="B129" s="128" t="s">
        <v>28</v>
      </c>
      <c r="C129" s="128" t="s">
        <v>293</v>
      </c>
      <c r="D129" s="235" t="s">
        <v>270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245</v>
      </c>
      <c r="B130" s="128" t="s">
        <v>32</v>
      </c>
      <c r="C130" s="128" t="s">
        <v>297</v>
      </c>
      <c r="D130" s="235" t="s">
        <v>270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245</v>
      </c>
      <c r="B131" s="128" t="s">
        <v>21</v>
      </c>
      <c r="C131" s="128" t="s">
        <v>286</v>
      </c>
      <c r="D131" s="235" t="s">
        <v>270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245</v>
      </c>
      <c r="B132" s="128" t="s">
        <v>25</v>
      </c>
      <c r="C132" s="128" t="s">
        <v>290</v>
      </c>
      <c r="D132" s="235" t="s">
        <v>270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245</v>
      </c>
      <c r="B133" s="128" t="s">
        <v>29</v>
      </c>
      <c r="C133" s="128" t="s">
        <v>294</v>
      </c>
      <c r="D133" s="235" t="s">
        <v>270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245</v>
      </c>
      <c r="B134" s="128" t="s">
        <v>33</v>
      </c>
      <c r="C134" s="128" t="s">
        <v>298</v>
      </c>
      <c r="D134" s="235" t="s">
        <v>270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245</v>
      </c>
      <c r="B135" s="128" t="s">
        <v>35</v>
      </c>
      <c r="C135" s="128" t="s">
        <v>300</v>
      </c>
      <c r="D135" s="235" t="s">
        <v>270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245</v>
      </c>
      <c r="B136" s="128" t="s">
        <v>39</v>
      </c>
      <c r="C136" s="128" t="s">
        <v>304</v>
      </c>
      <c r="D136" s="235" t="s">
        <v>270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245</v>
      </c>
      <c r="B137" s="128" t="s">
        <v>43</v>
      </c>
      <c r="C137" s="128" t="s">
        <v>308</v>
      </c>
      <c r="D137" s="235" t="s">
        <v>270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245</v>
      </c>
      <c r="B138" s="128" t="s">
        <v>47</v>
      </c>
      <c r="C138" s="128" t="s">
        <v>312</v>
      </c>
      <c r="D138" s="235" t="s">
        <v>270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245</v>
      </c>
      <c r="B139" s="128" t="s">
        <v>36</v>
      </c>
      <c r="C139" s="128" t="s">
        <v>301</v>
      </c>
      <c r="D139" s="235" t="s">
        <v>270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245</v>
      </c>
      <c r="B140" s="128" t="s">
        <v>40</v>
      </c>
      <c r="C140" s="128" t="s">
        <v>305</v>
      </c>
      <c r="D140" s="235" t="s">
        <v>270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245</v>
      </c>
      <c r="B141" s="128" t="s">
        <v>44</v>
      </c>
      <c r="C141" s="128" t="s">
        <v>309</v>
      </c>
      <c r="D141" s="235" t="s">
        <v>270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245</v>
      </c>
      <c r="B142" s="128" t="s">
        <v>48</v>
      </c>
      <c r="C142" s="128" t="s">
        <v>313</v>
      </c>
      <c r="D142" s="235" t="s">
        <v>270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245</v>
      </c>
      <c r="B143" s="128" t="s">
        <v>11</v>
      </c>
      <c r="C143" s="128" t="s">
        <v>276</v>
      </c>
      <c r="D143" s="235" t="s">
        <v>270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245</v>
      </c>
      <c r="B144" s="128" t="s">
        <v>13</v>
      </c>
      <c r="C144" s="128" t="s">
        <v>278</v>
      </c>
      <c r="D144" s="235" t="s">
        <v>270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245</v>
      </c>
      <c r="B145" s="128" t="s">
        <v>15</v>
      </c>
      <c r="C145" s="128" t="s">
        <v>280</v>
      </c>
      <c r="D145" s="235" t="s">
        <v>270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245</v>
      </c>
      <c r="B146" s="128" t="s">
        <v>17</v>
      </c>
      <c r="C146" s="128" t="s">
        <v>282</v>
      </c>
      <c r="D146" s="235" t="s">
        <v>270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245</v>
      </c>
      <c r="B147" s="128" t="s">
        <v>37</v>
      </c>
      <c r="C147" s="128" t="s">
        <v>302</v>
      </c>
      <c r="D147" s="235" t="s">
        <v>270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245</v>
      </c>
      <c r="B148" s="128" t="s">
        <v>41</v>
      </c>
      <c r="C148" s="128" t="s">
        <v>306</v>
      </c>
      <c r="D148" s="235" t="s">
        <v>270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245</v>
      </c>
      <c r="B149" s="128" t="s">
        <v>45</v>
      </c>
      <c r="C149" s="128" t="s">
        <v>310</v>
      </c>
      <c r="D149" s="235" t="s">
        <v>270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245</v>
      </c>
      <c r="B150" s="128" t="s">
        <v>49</v>
      </c>
      <c r="C150" s="128" t="s">
        <v>314</v>
      </c>
      <c r="D150" s="235" t="s">
        <v>270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245</v>
      </c>
      <c r="B151" s="128" t="s">
        <v>53</v>
      </c>
      <c r="C151" s="128" t="s">
        <v>318</v>
      </c>
      <c r="D151" s="235" t="s">
        <v>270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245</v>
      </c>
      <c r="B152" s="128" t="s">
        <v>58</v>
      </c>
      <c r="C152" s="128" t="s">
        <v>323</v>
      </c>
      <c r="D152" s="235" t="s">
        <v>270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245</v>
      </c>
      <c r="B153" s="128" t="s">
        <v>63</v>
      </c>
      <c r="C153" s="128" t="s">
        <v>328</v>
      </c>
      <c r="D153" s="235" t="s">
        <v>270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245</v>
      </c>
      <c r="B154" s="128" t="s">
        <v>68</v>
      </c>
      <c r="C154" s="128" t="s">
        <v>333</v>
      </c>
      <c r="D154" s="235" t="s">
        <v>270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245</v>
      </c>
      <c r="B155" s="128" t="s">
        <v>54</v>
      </c>
      <c r="C155" s="128" t="s">
        <v>319</v>
      </c>
      <c r="D155" s="235" t="s">
        <v>270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245</v>
      </c>
      <c r="B156" s="128" t="s">
        <v>59</v>
      </c>
      <c r="C156" s="128" t="s">
        <v>324</v>
      </c>
      <c r="D156" s="235" t="s">
        <v>270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245</v>
      </c>
      <c r="B157" s="128" t="s">
        <v>64</v>
      </c>
      <c r="C157" s="128" t="s">
        <v>329</v>
      </c>
      <c r="D157" s="235" t="s">
        <v>270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245</v>
      </c>
      <c r="B158" s="128" t="s">
        <v>69</v>
      </c>
      <c r="C158" s="128" t="s">
        <v>334</v>
      </c>
      <c r="D158" s="235" t="s">
        <v>270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7"/>
  <sheetViews>
    <sheetView showGridLines="0" zoomScale="80" zoomScaleNormal="80" workbookViewId="0">
      <selection activeCell="E37" sqref="E3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444</v>
      </c>
    </row>
    <row r="3" spans="2:30" ht="15" customHeight="1">
      <c r="B3" s="84"/>
    </row>
    <row r="4" spans="2:30" ht="15" customHeight="1">
      <c r="B4" s="85" t="s">
        <v>443</v>
      </c>
      <c r="C4" s="63" t="str">
        <f>Netzbetreiber!$D$9</f>
        <v>Stadtwerke Senftenberg GmbH</v>
      </c>
      <c r="D4" s="76"/>
      <c r="G4" s="76"/>
      <c r="I4" s="76"/>
      <c r="J4" s="77"/>
      <c r="M4" s="86" t="s">
        <v>542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442</v>
      </c>
      <c r="C5" s="64" t="str">
        <f>Netzbetreiber!D28</f>
        <v>Netzgebiet der SW Senftenberg</v>
      </c>
      <c r="D5" s="37"/>
      <c r="E5" s="76"/>
      <c r="F5" s="76"/>
      <c r="G5" s="76"/>
      <c r="I5" s="76"/>
      <c r="J5" s="76"/>
      <c r="K5" s="76"/>
      <c r="L5" s="76"/>
      <c r="M5" s="88" t="s">
        <v>509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440</v>
      </c>
      <c r="C6" s="63">
        <f>Netzbetreiber!$D$11</f>
        <v>9870084600006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8">
        <f>Netzbetreiber!$D$6</f>
        <v>44501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4" t="s">
        <v>456</v>
      </c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6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465</v>
      </c>
      <c r="N9" s="91" t="s">
        <v>370</v>
      </c>
      <c r="O9" s="92" t="s">
        <v>371</v>
      </c>
      <c r="P9" s="92" t="s">
        <v>372</v>
      </c>
      <c r="Q9" s="92" t="s">
        <v>373</v>
      </c>
      <c r="R9" s="92" t="s">
        <v>374</v>
      </c>
      <c r="S9" s="92" t="s">
        <v>375</v>
      </c>
      <c r="T9" s="92" t="s">
        <v>376</v>
      </c>
      <c r="U9" s="92" t="s">
        <v>377</v>
      </c>
      <c r="V9" s="92" t="s">
        <v>378</v>
      </c>
      <c r="W9" s="92" t="s">
        <v>379</v>
      </c>
      <c r="X9" s="92" t="s">
        <v>380</v>
      </c>
      <c r="Y9" s="92" t="s">
        <v>381</v>
      </c>
      <c r="Z9" s="92" t="s">
        <v>382</v>
      </c>
      <c r="AA9" s="92" t="s">
        <v>383</v>
      </c>
      <c r="AB9" s="92" t="s">
        <v>384</v>
      </c>
      <c r="AC9" s="93" t="s">
        <v>385</v>
      </c>
      <c r="AD9" s="93" t="s">
        <v>427</v>
      </c>
    </row>
    <row r="10" spans="2:30" ht="72" customHeight="1" thickBot="1">
      <c r="B10" s="359" t="s">
        <v>586</v>
      </c>
      <c r="C10" s="360"/>
      <c r="D10" s="94">
        <v>2</v>
      </c>
      <c r="E10" s="95" t="str">
        <f>IF(ISERROR(HLOOKUP(E$11,$M$9:$AD$35,$D10,0)),"",HLOOKUP(E$11,$M$9:$AD$35,$D10,0))</f>
        <v/>
      </c>
      <c r="F10" s="357" t="s">
        <v>396</v>
      </c>
      <c r="G10" s="357"/>
      <c r="H10" s="357"/>
      <c r="I10" s="357"/>
      <c r="J10" s="357"/>
      <c r="K10" s="357"/>
      <c r="L10" s="358"/>
      <c r="M10" s="96" t="s">
        <v>466</v>
      </c>
      <c r="N10" s="97" t="s">
        <v>467</v>
      </c>
      <c r="O10" s="98" t="s">
        <v>468</v>
      </c>
      <c r="P10" s="99" t="s">
        <v>469</v>
      </c>
      <c r="Q10" s="99" t="s">
        <v>470</v>
      </c>
      <c r="R10" s="99" t="s">
        <v>471</v>
      </c>
      <c r="S10" s="99" t="s">
        <v>472</v>
      </c>
      <c r="T10" s="99" t="s">
        <v>473</v>
      </c>
      <c r="U10" s="99" t="s">
        <v>474</v>
      </c>
      <c r="V10" s="99" t="s">
        <v>475</v>
      </c>
      <c r="W10" s="99" t="s">
        <v>476</v>
      </c>
      <c r="X10" s="99" t="s">
        <v>477</v>
      </c>
      <c r="Y10" s="99" t="s">
        <v>478</v>
      </c>
      <c r="Z10" s="99" t="s">
        <v>479</v>
      </c>
      <c r="AA10" s="99" t="s">
        <v>480</v>
      </c>
      <c r="AB10" s="99" t="s">
        <v>481</v>
      </c>
      <c r="AC10" s="100" t="s">
        <v>482</v>
      </c>
      <c r="AD10" s="101" t="s">
        <v>428</v>
      </c>
    </row>
    <row r="11" spans="2:30" ht="15.75" thickBot="1">
      <c r="B11" s="102" t="s">
        <v>419</v>
      </c>
      <c r="C11" s="103"/>
      <c r="D11" s="104">
        <v>3</v>
      </c>
      <c r="E11" s="105"/>
      <c r="F11" s="106" t="s">
        <v>387</v>
      </c>
      <c r="G11" s="107" t="s">
        <v>388</v>
      </c>
      <c r="H11" s="107" t="s">
        <v>389</v>
      </c>
      <c r="I11" s="107" t="s">
        <v>390</v>
      </c>
      <c r="J11" s="107" t="s">
        <v>391</v>
      </c>
      <c r="K11" s="107" t="s">
        <v>392</v>
      </c>
      <c r="L11" s="108" t="s">
        <v>393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397</v>
      </c>
      <c r="C12" s="110"/>
      <c r="D12" s="111">
        <v>4</v>
      </c>
      <c r="E12" s="314">
        <f>MIN(SUMPRODUCT($M$11:$AD$11,M12:AD12),1)</f>
        <v>1</v>
      </c>
      <c r="F12" s="311" t="s">
        <v>393</v>
      </c>
      <c r="G12" s="78" t="s">
        <v>393</v>
      </c>
      <c r="H12" s="78" t="s">
        <v>393</v>
      </c>
      <c r="I12" s="78" t="s">
        <v>393</v>
      </c>
      <c r="J12" s="78" t="s">
        <v>393</v>
      </c>
      <c r="K12" s="78" t="s">
        <v>393</v>
      </c>
      <c r="L12" s="79" t="s">
        <v>393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398</v>
      </c>
      <c r="C13" s="117"/>
      <c r="D13" s="111">
        <v>5</v>
      </c>
      <c r="E13" s="315">
        <f t="shared" ref="E13:E35" si="0">MIN(SUMPRODUCT($M$11:$AD$11,M13:AD13),1)</f>
        <v>0</v>
      </c>
      <c r="F13" s="312" t="s">
        <v>393</v>
      </c>
      <c r="G13" s="80" t="s">
        <v>393</v>
      </c>
      <c r="H13" s="80" t="s">
        <v>393</v>
      </c>
      <c r="I13" s="80" t="s">
        <v>393</v>
      </c>
      <c r="J13" s="80" t="s">
        <v>393</v>
      </c>
      <c r="K13" s="80" t="s">
        <v>393</v>
      </c>
      <c r="L13" s="81" t="s">
        <v>393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399</v>
      </c>
      <c r="C14" s="117"/>
      <c r="D14" s="111">
        <v>6</v>
      </c>
      <c r="E14" s="315">
        <f t="shared" si="0"/>
        <v>0</v>
      </c>
      <c r="F14" s="312" t="s">
        <v>393</v>
      </c>
      <c r="G14" s="80" t="s">
        <v>400</v>
      </c>
      <c r="H14" s="80" t="s">
        <v>400</v>
      </c>
      <c r="I14" s="80" t="s">
        <v>400</v>
      </c>
      <c r="J14" s="80" t="s">
        <v>400</v>
      </c>
      <c r="K14" s="80" t="s">
        <v>400</v>
      </c>
      <c r="L14" s="81" t="s">
        <v>400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401</v>
      </c>
      <c r="C15" s="117"/>
      <c r="D15" s="111">
        <v>7</v>
      </c>
      <c r="E15" s="315">
        <f t="shared" si="0"/>
        <v>0</v>
      </c>
      <c r="F15" s="312" t="s">
        <v>400</v>
      </c>
      <c r="G15" s="80" t="s">
        <v>392</v>
      </c>
      <c r="H15" s="80" t="s">
        <v>400</v>
      </c>
      <c r="I15" s="80" t="s">
        <v>400</v>
      </c>
      <c r="J15" s="80" t="s">
        <v>400</v>
      </c>
      <c r="K15" s="80" t="s">
        <v>400</v>
      </c>
      <c r="L15" s="81" t="s">
        <v>400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413</v>
      </c>
      <c r="C16" s="117"/>
      <c r="D16" s="111">
        <v>8</v>
      </c>
      <c r="E16" s="315">
        <f t="shared" si="0"/>
        <v>1</v>
      </c>
      <c r="F16" s="312" t="s">
        <v>400</v>
      </c>
      <c r="G16" s="80" t="s">
        <v>400</v>
      </c>
      <c r="H16" s="80" t="s">
        <v>400</v>
      </c>
      <c r="I16" s="80" t="s">
        <v>400</v>
      </c>
      <c r="J16" s="80" t="s">
        <v>393</v>
      </c>
      <c r="K16" s="80" t="s">
        <v>400</v>
      </c>
      <c r="L16" s="81" t="s">
        <v>400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414</v>
      </c>
      <c r="C17" s="117"/>
      <c r="D17" s="111">
        <v>9</v>
      </c>
      <c r="E17" s="315">
        <f t="shared" si="0"/>
        <v>1</v>
      </c>
      <c r="F17" s="312" t="s">
        <v>400</v>
      </c>
      <c r="G17" s="80" t="s">
        <v>400</v>
      </c>
      <c r="H17" s="80" t="s">
        <v>400</v>
      </c>
      <c r="I17" s="80" t="s">
        <v>400</v>
      </c>
      <c r="J17" s="80" t="s">
        <v>400</v>
      </c>
      <c r="K17" s="80" t="s">
        <v>400</v>
      </c>
      <c r="L17" s="81" t="s">
        <v>393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415</v>
      </c>
      <c r="C18" s="117"/>
      <c r="D18" s="111">
        <v>10</v>
      </c>
      <c r="E18" s="315">
        <f t="shared" si="0"/>
        <v>1</v>
      </c>
      <c r="F18" s="312" t="s">
        <v>393</v>
      </c>
      <c r="G18" s="80" t="s">
        <v>400</v>
      </c>
      <c r="H18" s="80" t="s">
        <v>400</v>
      </c>
      <c r="I18" s="80" t="s">
        <v>400</v>
      </c>
      <c r="J18" s="80" t="s">
        <v>400</v>
      </c>
      <c r="K18" s="80" t="s">
        <v>400</v>
      </c>
      <c r="L18" s="81" t="s">
        <v>400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339" t="s">
        <v>654</v>
      </c>
      <c r="C19" s="340"/>
      <c r="D19" s="111"/>
      <c r="E19" s="315">
        <v>1</v>
      </c>
      <c r="F19" s="312" t="s">
        <v>393</v>
      </c>
      <c r="G19" s="80" t="s">
        <v>393</v>
      </c>
      <c r="H19" s="80" t="s">
        <v>393</v>
      </c>
      <c r="I19" s="80" t="s">
        <v>393</v>
      </c>
      <c r="J19" s="80" t="s">
        <v>393</v>
      </c>
      <c r="K19" s="80" t="s">
        <v>393</v>
      </c>
      <c r="L19" s="81" t="s">
        <v>393</v>
      </c>
      <c r="M19" s="112"/>
      <c r="N19" s="118"/>
      <c r="O19" s="119"/>
      <c r="P19" s="119"/>
      <c r="Q19" s="119">
        <v>1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69"/>
    </row>
    <row r="20" spans="2:30" ht="15">
      <c r="B20" s="121" t="s">
        <v>402</v>
      </c>
      <c r="C20" s="117"/>
      <c r="D20" s="111">
        <v>11</v>
      </c>
      <c r="E20" s="315">
        <f t="shared" si="0"/>
        <v>1</v>
      </c>
      <c r="F20" s="312" t="s">
        <v>393</v>
      </c>
      <c r="G20" s="80" t="s">
        <v>393</v>
      </c>
      <c r="H20" s="80" t="s">
        <v>393</v>
      </c>
      <c r="I20" s="80" t="s">
        <v>393</v>
      </c>
      <c r="J20" s="80" t="s">
        <v>393</v>
      </c>
      <c r="K20" s="80" t="s">
        <v>393</v>
      </c>
      <c r="L20" s="81" t="s">
        <v>393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652</v>
      </c>
      <c r="C21" s="117"/>
      <c r="D21" s="111">
        <v>12</v>
      </c>
      <c r="E21" s="315">
        <f t="shared" si="0"/>
        <v>1</v>
      </c>
      <c r="F21" s="312" t="s">
        <v>400</v>
      </c>
      <c r="G21" s="80" t="s">
        <v>400</v>
      </c>
      <c r="H21" s="80" t="s">
        <v>400</v>
      </c>
      <c r="I21" s="80" t="s">
        <v>393</v>
      </c>
      <c r="J21" s="80" t="s">
        <v>400</v>
      </c>
      <c r="K21" s="80" t="s">
        <v>400</v>
      </c>
      <c r="L21" s="81" t="s">
        <v>400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416</v>
      </c>
      <c r="C22" s="117"/>
      <c r="D22" s="111">
        <v>13</v>
      </c>
      <c r="E22" s="315">
        <f t="shared" si="0"/>
        <v>1</v>
      </c>
      <c r="F22" s="312" t="s">
        <v>400</v>
      </c>
      <c r="G22" s="80" t="s">
        <v>400</v>
      </c>
      <c r="H22" s="80" t="s">
        <v>400</v>
      </c>
      <c r="I22" s="80" t="s">
        <v>400</v>
      </c>
      <c r="J22" s="80" t="s">
        <v>400</v>
      </c>
      <c r="K22" s="80" t="s">
        <v>400</v>
      </c>
      <c r="L22" s="81" t="s">
        <v>393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21" t="s">
        <v>417</v>
      </c>
      <c r="C23" s="117"/>
      <c r="D23" s="111">
        <v>14</v>
      </c>
      <c r="E23" s="315">
        <f t="shared" si="0"/>
        <v>1</v>
      </c>
      <c r="F23" s="312" t="s">
        <v>393</v>
      </c>
      <c r="G23" s="80" t="s">
        <v>400</v>
      </c>
      <c r="H23" s="80" t="s">
        <v>400</v>
      </c>
      <c r="I23" s="80" t="s">
        <v>400</v>
      </c>
      <c r="J23" s="80" t="s">
        <v>400</v>
      </c>
      <c r="K23" s="80" t="s">
        <v>400</v>
      </c>
      <c r="L23" s="81" t="s">
        <v>400</v>
      </c>
      <c r="M23" s="112">
        <v>1</v>
      </c>
      <c r="N23" s="118">
        <v>1</v>
      </c>
      <c r="O23" s="119">
        <v>1</v>
      </c>
      <c r="P23" s="119">
        <v>1</v>
      </c>
      <c r="Q23" s="119">
        <v>1</v>
      </c>
      <c r="R23" s="119">
        <v>1</v>
      </c>
      <c r="S23" s="119">
        <v>1</v>
      </c>
      <c r="T23" s="119">
        <v>1</v>
      </c>
      <c r="U23" s="119">
        <v>1</v>
      </c>
      <c r="V23" s="119">
        <v>1</v>
      </c>
      <c r="W23" s="119">
        <v>1</v>
      </c>
      <c r="X23" s="119">
        <v>1</v>
      </c>
      <c r="Y23" s="119">
        <v>1</v>
      </c>
      <c r="Z23" s="119">
        <v>1</v>
      </c>
      <c r="AA23" s="119">
        <v>1</v>
      </c>
      <c r="AB23" s="119">
        <v>1</v>
      </c>
      <c r="AC23" s="120">
        <v>1</v>
      </c>
      <c r="AD23" s="69">
        <v>1</v>
      </c>
    </row>
    <row r="24" spans="2:30" ht="15">
      <c r="B24" s="116" t="s">
        <v>418</v>
      </c>
      <c r="C24" s="117"/>
      <c r="D24" s="111">
        <v>15</v>
      </c>
      <c r="E24" s="315">
        <f t="shared" si="0"/>
        <v>0</v>
      </c>
      <c r="F24" s="312" t="s">
        <v>400</v>
      </c>
      <c r="G24" s="80" t="s">
        <v>400</v>
      </c>
      <c r="H24" s="80" t="s">
        <v>400</v>
      </c>
      <c r="I24" s="80" t="s">
        <v>393</v>
      </c>
      <c r="J24" s="80" t="s">
        <v>400</v>
      </c>
      <c r="K24" s="80" t="s">
        <v>400</v>
      </c>
      <c r="L24" s="81" t="s">
        <v>400</v>
      </c>
      <c r="M24" s="112"/>
      <c r="N24" s="118"/>
      <c r="O24" s="119"/>
      <c r="P24" s="119">
        <v>1</v>
      </c>
      <c r="Q24" s="119"/>
      <c r="R24" s="119">
        <v>1</v>
      </c>
      <c r="S24" s="119"/>
      <c r="T24" s="119">
        <v>1</v>
      </c>
      <c r="U24" s="119">
        <v>1</v>
      </c>
      <c r="V24" s="119">
        <v>1</v>
      </c>
      <c r="W24" s="119"/>
      <c r="X24" s="119"/>
      <c r="Y24" s="119"/>
      <c r="Z24" s="119">
        <v>1</v>
      </c>
      <c r="AA24" s="119"/>
      <c r="AB24" s="119"/>
      <c r="AC24" s="120"/>
      <c r="AD24" s="69"/>
    </row>
    <row r="25" spans="2:30" ht="15">
      <c r="B25" s="116" t="s">
        <v>403</v>
      </c>
      <c r="C25" s="117"/>
      <c r="D25" s="111">
        <v>16</v>
      </c>
      <c r="E25" s="315">
        <f t="shared" si="0"/>
        <v>0</v>
      </c>
      <c r="F25" s="312" t="s">
        <v>393</v>
      </c>
      <c r="G25" s="80" t="s">
        <v>393</v>
      </c>
      <c r="H25" s="80" t="s">
        <v>393</v>
      </c>
      <c r="I25" s="80" t="s">
        <v>393</v>
      </c>
      <c r="J25" s="80" t="s">
        <v>393</v>
      </c>
      <c r="K25" s="80" t="s">
        <v>393</v>
      </c>
      <c r="L25" s="81" t="s">
        <v>393</v>
      </c>
      <c r="M25" s="112"/>
      <c r="N25" s="118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69"/>
    </row>
    <row r="26" spans="2:30" ht="15">
      <c r="B26" s="116" t="s">
        <v>404</v>
      </c>
      <c r="C26" s="117"/>
      <c r="D26" s="111">
        <v>17</v>
      </c>
      <c r="E26" s="315">
        <f t="shared" si="0"/>
        <v>0</v>
      </c>
      <c r="F26" s="312" t="s">
        <v>393</v>
      </c>
      <c r="G26" s="80" t="s">
        <v>393</v>
      </c>
      <c r="H26" s="80" t="s">
        <v>393</v>
      </c>
      <c r="I26" s="80" t="s">
        <v>393</v>
      </c>
      <c r="J26" s="80" t="s">
        <v>393</v>
      </c>
      <c r="K26" s="80" t="s">
        <v>393</v>
      </c>
      <c r="L26" s="81" t="s">
        <v>393</v>
      </c>
      <c r="M26" s="112"/>
      <c r="N26" s="118"/>
      <c r="O26" s="119"/>
      <c r="P26" s="119">
        <v>1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v>1</v>
      </c>
      <c r="AA26" s="119"/>
      <c r="AB26" s="119"/>
      <c r="AC26" s="120"/>
      <c r="AD26" s="69"/>
    </row>
    <row r="27" spans="2:30" ht="15">
      <c r="B27" s="339" t="s">
        <v>653</v>
      </c>
      <c r="C27" s="340"/>
      <c r="D27" s="111"/>
      <c r="E27" s="315">
        <v>1</v>
      </c>
      <c r="F27" s="312" t="s">
        <v>393</v>
      </c>
      <c r="G27" s="80" t="s">
        <v>393</v>
      </c>
      <c r="H27" s="80" t="s">
        <v>393</v>
      </c>
      <c r="I27" s="80" t="s">
        <v>393</v>
      </c>
      <c r="J27" s="80" t="s">
        <v>393</v>
      </c>
      <c r="K27" s="80" t="s">
        <v>393</v>
      </c>
      <c r="L27" s="81" t="s">
        <v>393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20">
        <v>1</v>
      </c>
      <c r="AD27" s="69"/>
    </row>
    <row r="28" spans="2:30" ht="15">
      <c r="B28" s="121" t="s">
        <v>405</v>
      </c>
      <c r="C28" s="117"/>
      <c r="D28" s="111">
        <v>18</v>
      </c>
      <c r="E28" s="315">
        <f t="shared" si="0"/>
        <v>1</v>
      </c>
      <c r="F28" s="312" t="s">
        <v>393</v>
      </c>
      <c r="G28" s="80" t="s">
        <v>393</v>
      </c>
      <c r="H28" s="80" t="s">
        <v>393</v>
      </c>
      <c r="I28" s="80" t="s">
        <v>393</v>
      </c>
      <c r="J28" s="80" t="s">
        <v>393</v>
      </c>
      <c r="K28" s="80" t="s">
        <v>393</v>
      </c>
      <c r="L28" s="81" t="s">
        <v>393</v>
      </c>
      <c r="M28" s="112">
        <v>1</v>
      </c>
      <c r="N28" s="118">
        <v>1</v>
      </c>
      <c r="O28" s="119">
        <v>1</v>
      </c>
      <c r="P28" s="119">
        <v>1</v>
      </c>
      <c r="Q28" s="119">
        <v>1</v>
      </c>
      <c r="R28" s="119">
        <v>1</v>
      </c>
      <c r="S28" s="119">
        <v>1</v>
      </c>
      <c r="T28" s="119">
        <v>1</v>
      </c>
      <c r="U28" s="119">
        <v>1</v>
      </c>
      <c r="V28" s="119">
        <v>1</v>
      </c>
      <c r="W28" s="119">
        <v>1</v>
      </c>
      <c r="X28" s="119">
        <v>1</v>
      </c>
      <c r="Y28" s="119">
        <v>1</v>
      </c>
      <c r="Z28" s="119">
        <v>1</v>
      </c>
      <c r="AA28" s="119">
        <v>1</v>
      </c>
      <c r="AB28" s="119">
        <v>1</v>
      </c>
      <c r="AC28" s="120">
        <v>1</v>
      </c>
      <c r="AD28" s="69">
        <v>1</v>
      </c>
    </row>
    <row r="29" spans="2:30" s="346" customFormat="1" ht="15">
      <c r="B29" s="339" t="s">
        <v>406</v>
      </c>
      <c r="C29" s="340"/>
      <c r="D29" s="341">
        <v>19</v>
      </c>
      <c r="E29" s="342">
        <v>1</v>
      </c>
      <c r="F29" s="312" t="s">
        <v>393</v>
      </c>
      <c r="G29" s="312" t="s">
        <v>393</v>
      </c>
      <c r="H29" s="312" t="s">
        <v>393</v>
      </c>
      <c r="I29" s="312" t="s">
        <v>393</v>
      </c>
      <c r="J29" s="312" t="s">
        <v>393</v>
      </c>
      <c r="K29" s="312" t="s">
        <v>393</v>
      </c>
      <c r="L29" s="312" t="s">
        <v>393</v>
      </c>
      <c r="M29" s="112"/>
      <c r="N29" s="343">
        <v>1</v>
      </c>
      <c r="O29" s="344">
        <v>1</v>
      </c>
      <c r="P29" s="344"/>
      <c r="Q29" s="344"/>
      <c r="R29" s="344"/>
      <c r="S29" s="344">
        <v>1</v>
      </c>
      <c r="T29" s="344"/>
      <c r="U29" s="344"/>
      <c r="V29" s="344"/>
      <c r="W29" s="344">
        <v>1</v>
      </c>
      <c r="X29" s="344">
        <v>1</v>
      </c>
      <c r="Y29" s="344">
        <v>1</v>
      </c>
      <c r="Z29" s="344"/>
      <c r="AA29" s="344">
        <v>1</v>
      </c>
      <c r="AB29" s="344">
        <v>1</v>
      </c>
      <c r="AC29" s="345">
        <v>1</v>
      </c>
      <c r="AD29" s="69"/>
    </row>
    <row r="30" spans="2:30" ht="15">
      <c r="B30" s="116" t="s">
        <v>407</v>
      </c>
      <c r="C30" s="117"/>
      <c r="D30" s="111">
        <v>20</v>
      </c>
      <c r="E30" s="315">
        <f t="shared" si="0"/>
        <v>0</v>
      </c>
      <c r="F30" s="312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393</v>
      </c>
      <c r="M30" s="112"/>
      <c r="N30" s="118"/>
      <c r="O30" s="119"/>
      <c r="P30" s="119">
        <v>1</v>
      </c>
      <c r="Q30" s="119"/>
      <c r="R30" s="119"/>
      <c r="S30" s="119"/>
      <c r="T30" s="119">
        <v>1</v>
      </c>
      <c r="U30" s="119">
        <v>1</v>
      </c>
      <c r="V30" s="119">
        <v>1</v>
      </c>
      <c r="W30" s="119"/>
      <c r="X30" s="119"/>
      <c r="Y30" s="119"/>
      <c r="Z30" s="119">
        <v>1</v>
      </c>
      <c r="AA30" s="119"/>
      <c r="AB30" s="119"/>
      <c r="AC30" s="120"/>
      <c r="AD30" s="69"/>
    </row>
    <row r="31" spans="2:30" ht="15">
      <c r="B31" s="116" t="s">
        <v>408</v>
      </c>
      <c r="C31" s="117"/>
      <c r="D31" s="111">
        <v>21</v>
      </c>
      <c r="E31" s="315">
        <f t="shared" si="0"/>
        <v>0</v>
      </c>
      <c r="F31" s="312" t="s">
        <v>400</v>
      </c>
      <c r="G31" s="80" t="s">
        <v>400</v>
      </c>
      <c r="H31" s="80" t="s">
        <v>393</v>
      </c>
      <c r="I31" s="80" t="s">
        <v>400</v>
      </c>
      <c r="J31" s="80" t="s">
        <v>400</v>
      </c>
      <c r="K31" s="80" t="s">
        <v>400</v>
      </c>
      <c r="L31" s="81" t="s">
        <v>400</v>
      </c>
      <c r="M31" s="112"/>
      <c r="N31" s="118"/>
      <c r="O31" s="119"/>
      <c r="P31" s="119"/>
      <c r="Q31" s="119"/>
      <c r="R31" s="119"/>
      <c r="S31" s="119"/>
      <c r="T31" s="119"/>
      <c r="U31" s="119"/>
      <c r="V31" s="119"/>
      <c r="W31" s="119"/>
      <c r="X31" s="119">
        <v>1</v>
      </c>
      <c r="Y31" s="119"/>
      <c r="Z31" s="119"/>
      <c r="AA31" s="119"/>
      <c r="AB31" s="119"/>
      <c r="AC31" s="120"/>
      <c r="AD31" s="69"/>
    </row>
    <row r="32" spans="2:30" ht="15">
      <c r="B32" s="116" t="s">
        <v>409</v>
      </c>
      <c r="C32" s="117"/>
      <c r="D32" s="111">
        <v>22</v>
      </c>
      <c r="E32" s="315">
        <f t="shared" si="0"/>
        <v>0</v>
      </c>
      <c r="F32" s="312" t="s">
        <v>392</v>
      </c>
      <c r="G32" s="80" t="s">
        <v>392</v>
      </c>
      <c r="H32" s="80" t="s">
        <v>392</v>
      </c>
      <c r="I32" s="80" t="s">
        <v>392</v>
      </c>
      <c r="J32" s="80" t="s">
        <v>392</v>
      </c>
      <c r="K32" s="80" t="s">
        <v>392</v>
      </c>
      <c r="L32" s="81" t="s">
        <v>393</v>
      </c>
      <c r="M32" s="112"/>
      <c r="N32" s="118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20"/>
      <c r="AD32" s="69"/>
    </row>
    <row r="33" spans="2:30" ht="15">
      <c r="B33" s="121" t="s">
        <v>410</v>
      </c>
      <c r="C33" s="117"/>
      <c r="D33" s="111">
        <v>23</v>
      </c>
      <c r="E33" s="315">
        <f t="shared" si="0"/>
        <v>1</v>
      </c>
      <c r="F33" s="312" t="s">
        <v>393</v>
      </c>
      <c r="G33" s="80" t="s">
        <v>393</v>
      </c>
      <c r="H33" s="80" t="s">
        <v>393</v>
      </c>
      <c r="I33" s="80" t="s">
        <v>393</v>
      </c>
      <c r="J33" s="80" t="s">
        <v>393</v>
      </c>
      <c r="K33" s="80" t="s">
        <v>393</v>
      </c>
      <c r="L33" s="81" t="s">
        <v>393</v>
      </c>
      <c r="M33" s="112">
        <v>1</v>
      </c>
      <c r="N33" s="118">
        <v>1</v>
      </c>
      <c r="O33" s="119">
        <v>1</v>
      </c>
      <c r="P33" s="119">
        <v>1</v>
      </c>
      <c r="Q33" s="119">
        <v>1</v>
      </c>
      <c r="R33" s="119">
        <v>1</v>
      </c>
      <c r="S33" s="119">
        <v>1</v>
      </c>
      <c r="T33" s="119">
        <v>1</v>
      </c>
      <c r="U33" s="119">
        <v>1</v>
      </c>
      <c r="V33" s="119">
        <v>1</v>
      </c>
      <c r="W33" s="119">
        <v>1</v>
      </c>
      <c r="X33" s="119">
        <v>1</v>
      </c>
      <c r="Y33" s="119">
        <v>1</v>
      </c>
      <c r="Z33" s="119">
        <v>1</v>
      </c>
      <c r="AA33" s="119">
        <v>1</v>
      </c>
      <c r="AB33" s="119">
        <v>1</v>
      </c>
      <c r="AC33" s="120">
        <v>1</v>
      </c>
      <c r="AD33" s="69">
        <v>1</v>
      </c>
    </row>
    <row r="34" spans="2:30" ht="15">
      <c r="B34" s="121" t="s">
        <v>411</v>
      </c>
      <c r="C34" s="117"/>
      <c r="D34" s="111">
        <v>24</v>
      </c>
      <c r="E34" s="315">
        <f t="shared" si="0"/>
        <v>1</v>
      </c>
      <c r="F34" s="312" t="s">
        <v>393</v>
      </c>
      <c r="G34" s="80" t="s">
        <v>393</v>
      </c>
      <c r="H34" s="80" t="s">
        <v>393</v>
      </c>
      <c r="I34" s="80" t="s">
        <v>393</v>
      </c>
      <c r="J34" s="80" t="s">
        <v>393</v>
      </c>
      <c r="K34" s="80" t="s">
        <v>393</v>
      </c>
      <c r="L34" s="81" t="s">
        <v>393</v>
      </c>
      <c r="M34" s="112">
        <v>1</v>
      </c>
      <c r="N34" s="118">
        <v>1</v>
      </c>
      <c r="O34" s="119">
        <v>1</v>
      </c>
      <c r="P34" s="119">
        <v>1</v>
      </c>
      <c r="Q34" s="119">
        <v>1</v>
      </c>
      <c r="R34" s="119">
        <v>1</v>
      </c>
      <c r="S34" s="119">
        <v>1</v>
      </c>
      <c r="T34" s="119">
        <v>1</v>
      </c>
      <c r="U34" s="119">
        <v>1</v>
      </c>
      <c r="V34" s="119">
        <v>1</v>
      </c>
      <c r="W34" s="119">
        <v>1</v>
      </c>
      <c r="X34" s="119">
        <v>1</v>
      </c>
      <c r="Y34" s="119">
        <v>1</v>
      </c>
      <c r="Z34" s="119">
        <v>1</v>
      </c>
      <c r="AA34" s="119">
        <v>1</v>
      </c>
      <c r="AB34" s="119">
        <v>1</v>
      </c>
      <c r="AC34" s="120">
        <v>1</v>
      </c>
      <c r="AD34" s="69">
        <v>1</v>
      </c>
    </row>
    <row r="35" spans="2:30" ht="15.75" thickBot="1">
      <c r="B35" s="122" t="s">
        <v>412</v>
      </c>
      <c r="C35" s="123"/>
      <c r="D35" s="124">
        <v>25</v>
      </c>
      <c r="E35" s="316">
        <f t="shared" si="0"/>
        <v>0</v>
      </c>
      <c r="F35" s="313" t="s">
        <v>392</v>
      </c>
      <c r="G35" s="82" t="s">
        <v>392</v>
      </c>
      <c r="H35" s="82" t="s">
        <v>392</v>
      </c>
      <c r="I35" s="82" t="s">
        <v>392</v>
      </c>
      <c r="J35" s="82" t="s">
        <v>392</v>
      </c>
      <c r="K35" s="82" t="s">
        <v>392</v>
      </c>
      <c r="L35" s="83" t="s">
        <v>393</v>
      </c>
      <c r="M35" s="112"/>
      <c r="N35" s="125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7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12:AD35">
    <cfRule type="expression" dxfId="4" priority="3">
      <formula>IF(M$11=1,1)</formula>
    </cfRule>
  </conditionalFormatting>
  <conditionalFormatting sqref="M9:AD10">
    <cfRule type="expression" dxfId="3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5">
      <formula1>"1, "</formula1>
    </dataValidation>
    <dataValidation type="list" allowBlank="1" showInputMessage="1" showErrorMessage="1" sqref="F12:L35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453</v>
      </c>
      <c r="B1" s="128"/>
      <c r="D1" s="217" t="s">
        <v>548</v>
      </c>
    </row>
    <row r="2" spans="1:16">
      <c r="A2" s="237"/>
      <c r="B2" s="236" t="s">
        <v>454</v>
      </c>
    </row>
    <row r="3" spans="1:16" ht="20.100000000000001" customHeight="1">
      <c r="A3" s="361" t="s">
        <v>249</v>
      </c>
      <c r="B3" s="238" t="s">
        <v>86</v>
      </c>
      <c r="C3" s="239"/>
      <c r="D3" s="363" t="s">
        <v>455</v>
      </c>
      <c r="E3" s="364"/>
      <c r="F3" s="364"/>
      <c r="G3" s="364"/>
      <c r="H3" s="364"/>
      <c r="I3" s="364"/>
      <c r="J3" s="365"/>
      <c r="K3" s="240"/>
      <c r="L3" s="240"/>
      <c r="M3" s="240"/>
      <c r="N3" s="240"/>
      <c r="O3" s="241"/>
      <c r="P3" s="240"/>
    </row>
    <row r="4" spans="1:16" ht="20.100000000000001" customHeight="1">
      <c r="A4" s="362"/>
      <c r="B4" s="242"/>
      <c r="C4" s="243"/>
      <c r="D4" s="244" t="s">
        <v>87</v>
      </c>
      <c r="E4" s="244" t="s">
        <v>88</v>
      </c>
      <c r="F4" s="244" t="s">
        <v>89</v>
      </c>
      <c r="G4" s="244" t="s">
        <v>90</v>
      </c>
      <c r="H4" s="244" t="s">
        <v>91</v>
      </c>
      <c r="I4" s="244" t="s">
        <v>92</v>
      </c>
      <c r="J4" s="244" t="s">
        <v>93</v>
      </c>
      <c r="K4" s="240"/>
      <c r="L4" s="240"/>
      <c r="M4" s="240"/>
      <c r="N4" s="240"/>
      <c r="O4" s="241"/>
      <c r="P4" s="240"/>
    </row>
    <row r="5" spans="1:16" ht="31.5" customHeight="1">
      <c r="A5" s="245"/>
      <c r="B5" s="246" t="s">
        <v>94</v>
      </c>
      <c r="C5" s="243"/>
      <c r="D5" s="244" t="s">
        <v>95</v>
      </c>
      <c r="E5" s="244" t="s">
        <v>96</v>
      </c>
      <c r="F5" s="244" t="s">
        <v>97</v>
      </c>
      <c r="G5" s="244" t="s">
        <v>98</v>
      </c>
      <c r="H5" s="244" t="s">
        <v>99</v>
      </c>
      <c r="I5" s="244" t="s">
        <v>100</v>
      </c>
      <c r="J5" s="244" t="s">
        <v>101</v>
      </c>
      <c r="K5" s="244" t="s">
        <v>102</v>
      </c>
      <c r="L5" s="245" t="s">
        <v>103</v>
      </c>
      <c r="M5" s="245" t="s">
        <v>104</v>
      </c>
      <c r="N5" s="247" t="s">
        <v>147</v>
      </c>
      <c r="O5" s="247" t="s">
        <v>252</v>
      </c>
      <c r="P5" s="248" t="s">
        <v>251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" customHeight="1">
      <c r="A7" s="251">
        <v>1</v>
      </c>
      <c r="B7" s="244" t="s">
        <v>105</v>
      </c>
      <c r="C7" s="252" t="s">
        <v>106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102</v>
      </c>
      <c r="M7" s="254">
        <f t="shared" ref="M7:M21" si="0">MAX(D7:J7)</f>
        <v>1</v>
      </c>
      <c r="N7" s="255" t="s">
        <v>366</v>
      </c>
      <c r="O7" s="250"/>
      <c r="P7" s="244"/>
    </row>
    <row r="8" spans="1:16" ht="21" customHeight="1">
      <c r="A8" s="251">
        <v>2</v>
      </c>
      <c r="B8" s="244" t="s">
        <v>107</v>
      </c>
      <c r="C8" s="252" t="s">
        <v>108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102</v>
      </c>
      <c r="M8" s="254">
        <f t="shared" si="0"/>
        <v>1</v>
      </c>
      <c r="N8" s="255" t="s">
        <v>366</v>
      </c>
      <c r="O8" s="250"/>
      <c r="P8" s="244"/>
    </row>
    <row r="9" spans="1:16" ht="21" customHeight="1">
      <c r="A9" s="251">
        <v>3</v>
      </c>
      <c r="B9" s="244" t="s">
        <v>247</v>
      </c>
      <c r="C9" s="256" t="s">
        <v>5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102</v>
      </c>
      <c r="M9" s="254">
        <f t="shared" ref="M9" si="1">MAX(D9:J9)</f>
        <v>1</v>
      </c>
      <c r="N9" s="255" t="s">
        <v>5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109</v>
      </c>
      <c r="C11" s="260" t="s">
        <v>110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96</v>
      </c>
      <c r="M11" s="254">
        <f t="shared" si="0"/>
        <v>1.0522626697461936</v>
      </c>
      <c r="N11" s="255" t="s">
        <v>255</v>
      </c>
      <c r="O11" s="250" t="s">
        <v>253</v>
      </c>
      <c r="P11" s="244"/>
    </row>
    <row r="12" spans="1:16">
      <c r="A12" s="251">
        <v>5</v>
      </c>
      <c r="B12" s="244" t="s">
        <v>111</v>
      </c>
      <c r="C12" s="260" t="s">
        <v>112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95</v>
      </c>
      <c r="M12" s="254">
        <f t="shared" si="0"/>
        <v>1.0358469949391176</v>
      </c>
      <c r="N12" s="255" t="s">
        <v>255</v>
      </c>
      <c r="O12" s="250" t="s">
        <v>253</v>
      </c>
      <c r="P12" s="244"/>
    </row>
    <row r="13" spans="1:16">
      <c r="A13" s="251">
        <v>6</v>
      </c>
      <c r="B13" s="244" t="s">
        <v>113</v>
      </c>
      <c r="C13" s="260" t="s">
        <v>114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95</v>
      </c>
      <c r="M13" s="254">
        <f t="shared" si="0"/>
        <v>1.069856584592316</v>
      </c>
      <c r="N13" s="255" t="s">
        <v>255</v>
      </c>
      <c r="O13" s="250" t="s">
        <v>253</v>
      </c>
      <c r="P13" s="244"/>
    </row>
    <row r="14" spans="1:16" ht="21" customHeight="1">
      <c r="A14" s="251">
        <v>7</v>
      </c>
      <c r="B14" s="244" t="s">
        <v>115</v>
      </c>
      <c r="C14" s="260" t="s">
        <v>116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95</v>
      </c>
      <c r="M14" s="254">
        <f t="shared" si="0"/>
        <v>1.1052461688999999</v>
      </c>
      <c r="N14" s="255" t="s">
        <v>255</v>
      </c>
      <c r="O14" s="250" t="s">
        <v>253</v>
      </c>
      <c r="P14" s="244"/>
    </row>
    <row r="15" spans="1:16" ht="21" customHeight="1">
      <c r="A15" s="251">
        <v>8</v>
      </c>
      <c r="B15" s="244" t="s">
        <v>117</v>
      </c>
      <c r="C15" s="260" t="s">
        <v>118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96</v>
      </c>
      <c r="M15" s="254">
        <f t="shared" si="0"/>
        <v>1.0389446761000001</v>
      </c>
      <c r="N15" s="255" t="s">
        <v>255</v>
      </c>
      <c r="O15" s="250" t="s">
        <v>253</v>
      </c>
      <c r="P15" s="244"/>
    </row>
    <row r="16" spans="1:16" ht="21" customHeight="1">
      <c r="A16" s="251">
        <v>9</v>
      </c>
      <c r="B16" s="244" t="s">
        <v>123</v>
      </c>
      <c r="C16" s="260" t="s">
        <v>124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97</v>
      </c>
      <c r="M16" s="254">
        <f>MAX(D16:J16)</f>
        <v>1.2706602107</v>
      </c>
      <c r="N16" s="255" t="s">
        <v>255</v>
      </c>
      <c r="O16" s="250" t="s">
        <v>253</v>
      </c>
      <c r="P16" s="244"/>
    </row>
    <row r="17" spans="1:16" ht="21" customHeight="1">
      <c r="A17" s="251">
        <v>10</v>
      </c>
      <c r="B17" s="244" t="s">
        <v>119</v>
      </c>
      <c r="C17" s="261" t="s">
        <v>120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100</v>
      </c>
      <c r="M17" s="254">
        <f t="shared" si="0"/>
        <v>1.0355882019</v>
      </c>
      <c r="N17" s="255" t="s">
        <v>255</v>
      </c>
      <c r="O17" s="250" t="s">
        <v>254</v>
      </c>
      <c r="P17" s="244" t="s">
        <v>117</v>
      </c>
    </row>
    <row r="18" spans="1:16" ht="21" customHeight="1">
      <c r="A18" s="251">
        <v>11</v>
      </c>
      <c r="B18" s="244" t="s">
        <v>121</v>
      </c>
      <c r="C18" s="261" t="s">
        <v>122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99</v>
      </c>
      <c r="M18" s="254">
        <f t="shared" si="0"/>
        <v>1.1401797148999999</v>
      </c>
      <c r="N18" s="255" t="s">
        <v>255</v>
      </c>
      <c r="O18" s="250" t="s">
        <v>254</v>
      </c>
      <c r="P18" s="244" t="s">
        <v>123</v>
      </c>
    </row>
    <row r="19" spans="1:16" ht="21" customHeight="1">
      <c r="A19" s="251">
        <v>12</v>
      </c>
      <c r="B19" s="244" t="s">
        <v>125</v>
      </c>
      <c r="C19" s="261" t="s">
        <v>126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98</v>
      </c>
      <c r="M19" s="254">
        <f t="shared" si="0"/>
        <v>1.0552346931000001</v>
      </c>
      <c r="N19" s="255" t="s">
        <v>255</v>
      </c>
      <c r="O19" s="250" t="s">
        <v>254</v>
      </c>
      <c r="P19" s="244" t="s">
        <v>109</v>
      </c>
    </row>
    <row r="20" spans="1:16" ht="21" customHeight="1">
      <c r="A20" s="251">
        <v>13</v>
      </c>
      <c r="B20" s="244" t="s">
        <v>127</v>
      </c>
      <c r="C20" s="261" t="s">
        <v>128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95</v>
      </c>
      <c r="M20" s="254">
        <f t="shared" si="0"/>
        <v>1.0865859003</v>
      </c>
      <c r="N20" s="255" t="s">
        <v>255</v>
      </c>
      <c r="O20" s="250" t="s">
        <v>254</v>
      </c>
      <c r="P20" s="244" t="s">
        <v>111</v>
      </c>
    </row>
    <row r="21" spans="1:16" ht="24.75" customHeight="1">
      <c r="A21" s="251">
        <v>14</v>
      </c>
      <c r="B21" s="244" t="s">
        <v>129</v>
      </c>
      <c r="C21" s="261" t="s">
        <v>130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96</v>
      </c>
      <c r="M21" s="254">
        <f t="shared" si="0"/>
        <v>1.0522626697461936</v>
      </c>
      <c r="N21" s="255" t="s">
        <v>255</v>
      </c>
      <c r="O21" s="250" t="s">
        <v>254</v>
      </c>
      <c r="P21" s="244" t="s">
        <v>117</v>
      </c>
    </row>
    <row r="22" spans="1:16" ht="25.5">
      <c r="A22" s="251">
        <v>15</v>
      </c>
      <c r="B22" s="244" t="s">
        <v>131</v>
      </c>
      <c r="C22" s="262" t="s">
        <v>132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96</v>
      </c>
      <c r="M22" s="254">
        <f>MAX(D22:J22)</f>
        <v>1.03</v>
      </c>
      <c r="N22" s="255" t="s">
        <v>255</v>
      </c>
      <c r="O22" s="250" t="s">
        <v>254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2" priority="2" stopIfTrue="1" operator="equal">
      <formula>$M7</formula>
    </cfRule>
  </conditionalFormatting>
  <conditionalFormatting sqref="D9:J9">
    <cfRule type="cellIs" dxfId="1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818b9f00-f4e5-4488-840e-6084e0f1107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Liebeskind, Thomas</cp:lastModifiedBy>
  <cp:lastPrinted>2015-03-20T22:59:10Z</cp:lastPrinted>
  <dcterms:created xsi:type="dcterms:W3CDTF">2015-01-15T05:25:41Z</dcterms:created>
  <dcterms:modified xsi:type="dcterms:W3CDTF">2021-11-01T09:36:58Z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